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5640" windowWidth="19260" windowHeight="5685"/>
  </bookViews>
  <sheets>
    <sheet name="총괄표" sheetId="59" r:id="rId1"/>
    <sheet name="2011학년도 세입예산 명세서" sheetId="63" r:id="rId2"/>
    <sheet name="2011학년도 세출예산 명세서" sheetId="64" r:id="rId3"/>
  </sheets>
  <externalReferences>
    <externalReference r:id="rId4"/>
  </externalReferences>
  <definedNames>
    <definedName name="_xlnm._FilterDatabase" localSheetId="1" hidden="1">'2011학년도 세입예산 명세서'!$A$4:$J$116</definedName>
    <definedName name="_xlnm.Print_Area" localSheetId="1">'2011학년도 세입예산 명세서'!$A$1:$J$116</definedName>
    <definedName name="_xlnm.Print_Titles" localSheetId="1">'2011학년도 세입예산 명세서'!$3:$4</definedName>
  </definedNames>
  <calcPr calcId="124519"/>
</workbook>
</file>

<file path=xl/calcChain.xml><?xml version="1.0" encoding="utf-8"?>
<calcChain xmlns="http://schemas.openxmlformats.org/spreadsheetml/2006/main">
  <c r="H117" i="64"/>
  <c r="I117"/>
  <c r="G117"/>
  <c r="G10" i="63"/>
  <c r="C6" i="59"/>
  <c r="C5"/>
  <c r="C4"/>
  <c r="B6"/>
  <c r="B5"/>
  <c r="H107" i="63"/>
  <c r="I107"/>
  <c r="G107"/>
  <c r="H101"/>
  <c r="I101"/>
  <c r="G101"/>
  <c r="H96"/>
  <c r="I96"/>
  <c r="G96"/>
  <c r="H90"/>
  <c r="I90"/>
  <c r="G90"/>
  <c r="H88"/>
  <c r="I88"/>
  <c r="G88"/>
  <c r="H85"/>
  <c r="I85"/>
  <c r="G85"/>
  <c r="H80"/>
  <c r="I80"/>
  <c r="G80"/>
  <c r="H73"/>
  <c r="I73"/>
  <c r="G73"/>
  <c r="H69"/>
  <c r="I69"/>
  <c r="G69"/>
  <c r="H5"/>
  <c r="G99"/>
  <c r="G83"/>
  <c r="H11"/>
  <c r="I11"/>
  <c r="G11"/>
  <c r="H6"/>
  <c r="H113"/>
  <c r="I113"/>
  <c r="G113"/>
  <c r="H106"/>
  <c r="H105" s="1"/>
  <c r="I106"/>
  <c r="I105" s="1"/>
  <c r="G106"/>
  <c r="G105" s="1"/>
  <c r="H100"/>
  <c r="H99" s="1"/>
  <c r="I100"/>
  <c r="I99" s="1"/>
  <c r="G100"/>
  <c r="I95"/>
  <c r="I94" s="1"/>
  <c r="H95"/>
  <c r="H94" s="1"/>
  <c r="G95"/>
  <c r="G94" s="1"/>
  <c r="H84"/>
  <c r="H83" s="1"/>
  <c r="I84"/>
  <c r="I83" s="1"/>
  <c r="G84"/>
  <c r="H36"/>
  <c r="H18" s="1"/>
  <c r="I36"/>
  <c r="I18" s="1"/>
  <c r="G36"/>
  <c r="G18" s="1"/>
  <c r="H19"/>
  <c r="I19"/>
  <c r="G19"/>
  <c r="G20"/>
  <c r="H114"/>
  <c r="G114"/>
  <c r="H78"/>
  <c r="G78"/>
  <c r="H67"/>
  <c r="G67"/>
  <c r="H53"/>
  <c r="H51"/>
  <c r="G51"/>
  <c r="H37"/>
  <c r="H34"/>
  <c r="G34"/>
  <c r="H29"/>
  <c r="H27"/>
  <c r="G27"/>
  <c r="H22"/>
  <c r="H20"/>
  <c r="H13"/>
  <c r="H12" s="1"/>
  <c r="G13"/>
  <c r="G12" s="1"/>
  <c r="G373" i="64"/>
  <c r="G67"/>
  <c r="G66"/>
  <c r="G374"/>
  <c r="G371"/>
  <c r="G59"/>
  <c r="G58"/>
  <c r="G57"/>
  <c r="G56"/>
  <c r="G35"/>
  <c r="G34"/>
  <c r="G33"/>
  <c r="G32"/>
  <c r="D6" i="59" l="1"/>
  <c r="G17" i="63"/>
  <c r="H17"/>
  <c r="I17"/>
  <c r="I71" l="1"/>
  <c r="G73" i="64"/>
  <c r="G79"/>
  <c r="G78"/>
  <c r="G64" i="63" l="1"/>
  <c r="G60"/>
  <c r="G58"/>
  <c r="G8"/>
  <c r="G7" s="1"/>
  <c r="G6" s="1"/>
  <c r="G5" s="1"/>
  <c r="B4" i="59" s="1"/>
  <c r="G196" i="64"/>
  <c r="I148"/>
  <c r="I432"/>
  <c r="I419"/>
  <c r="I420"/>
  <c r="I422"/>
  <c r="I423"/>
  <c r="I416"/>
  <c r="H415"/>
  <c r="I415" s="1"/>
  <c r="I405"/>
  <c r="I406"/>
  <c r="I410"/>
  <c r="I411"/>
  <c r="I412"/>
  <c r="I388"/>
  <c r="I389"/>
  <c r="I390"/>
  <c r="I391"/>
  <c r="I382"/>
  <c r="I372"/>
  <c r="I375"/>
  <c r="I365"/>
  <c r="I356"/>
  <c r="I349"/>
  <c r="I335"/>
  <c r="I336"/>
  <c r="I337"/>
  <c r="I338"/>
  <c r="I339"/>
  <c r="I340"/>
  <c r="I341"/>
  <c r="I342"/>
  <c r="I327"/>
  <c r="I328"/>
  <c r="I329"/>
  <c r="I324"/>
  <c r="I323"/>
  <c r="I319"/>
  <c r="I308"/>
  <c r="I309"/>
  <c r="I305"/>
  <c r="I300"/>
  <c r="I301"/>
  <c r="I302"/>
  <c r="I292"/>
  <c r="I293"/>
  <c r="I294"/>
  <c r="I286"/>
  <c r="I287"/>
  <c r="I288"/>
  <c r="I289"/>
  <c r="I280"/>
  <c r="I274"/>
  <c r="I259"/>
  <c r="I260"/>
  <c r="I251"/>
  <c r="I241"/>
  <c r="I242"/>
  <c r="I243"/>
  <c r="I244"/>
  <c r="I245"/>
  <c r="I246"/>
  <c r="I235"/>
  <c r="I212"/>
  <c r="I192"/>
  <c r="I188"/>
  <c r="I183"/>
  <c r="I171"/>
  <c r="I160"/>
  <c r="I161"/>
  <c r="I162"/>
  <c r="I163"/>
  <c r="I164"/>
  <c r="I165"/>
  <c r="I166"/>
  <c r="I156"/>
  <c r="I152"/>
  <c r="I146"/>
  <c r="I135"/>
  <c r="I136"/>
  <c r="I137"/>
  <c r="I138"/>
  <c r="I140"/>
  <c r="I113"/>
  <c r="I102"/>
  <c r="I103"/>
  <c r="I104"/>
  <c r="I105"/>
  <c r="I106"/>
  <c r="I107"/>
  <c r="I108"/>
  <c r="I109"/>
  <c r="I94"/>
  <c r="I89"/>
  <c r="I85"/>
  <c r="I86"/>
  <c r="I77"/>
  <c r="I78"/>
  <c r="I79"/>
  <c r="I80"/>
  <c r="I81"/>
  <c r="I65"/>
  <c r="I66"/>
  <c r="I67"/>
  <c r="I69"/>
  <c r="I57"/>
  <c r="I58"/>
  <c r="I59"/>
  <c r="I41"/>
  <c r="I42"/>
  <c r="I43"/>
  <c r="I44"/>
  <c r="I45"/>
  <c r="I48"/>
  <c r="I49"/>
  <c r="I50"/>
  <c r="I54"/>
  <c r="I33"/>
  <c r="I34"/>
  <c r="I35"/>
  <c r="I19"/>
  <c r="I20"/>
  <c r="I23"/>
  <c r="I26"/>
  <c r="I27"/>
  <c r="I28"/>
  <c r="I15"/>
  <c r="I16"/>
  <c r="I17"/>
  <c r="I18"/>
  <c r="G448"/>
  <c r="G447" s="1"/>
  <c r="G446" s="1"/>
  <c r="G445" s="1"/>
  <c r="F10" i="59" s="1"/>
  <c r="H443" i="64"/>
  <c r="H442" s="1"/>
  <c r="G443"/>
  <c r="G442" s="1"/>
  <c r="H439"/>
  <c r="H438" s="1"/>
  <c r="G439"/>
  <c r="G438" s="1"/>
  <c r="H435"/>
  <c r="G435"/>
  <c r="H433"/>
  <c r="G430"/>
  <c r="G428"/>
  <c r="G417"/>
  <c r="H413"/>
  <c r="G413"/>
  <c r="G403"/>
  <c r="H399"/>
  <c r="G399"/>
  <c r="H397"/>
  <c r="G397"/>
  <c r="G394"/>
  <c r="G392"/>
  <c r="H386"/>
  <c r="G386"/>
  <c r="G385" s="1"/>
  <c r="G384" s="1"/>
  <c r="H380"/>
  <c r="H379" s="1"/>
  <c r="H378" s="1"/>
  <c r="G380"/>
  <c r="G379" s="1"/>
  <c r="G378" s="1"/>
  <c r="H376"/>
  <c r="G376"/>
  <c r="H369"/>
  <c r="H368" s="1"/>
  <c r="G366"/>
  <c r="H363"/>
  <c r="G363"/>
  <c r="G362" s="1"/>
  <c r="H359"/>
  <c r="G359"/>
  <c r="G357"/>
  <c r="G354"/>
  <c r="G350"/>
  <c r="H347"/>
  <c r="G347"/>
  <c r="H345"/>
  <c r="G345"/>
  <c r="H343"/>
  <c r="G343"/>
  <c r="H333"/>
  <c r="G333"/>
  <c r="G332" s="1"/>
  <c r="H325"/>
  <c r="G325"/>
  <c r="H322"/>
  <c r="G322"/>
  <c r="H320"/>
  <c r="G320"/>
  <c r="H318"/>
  <c r="I318"/>
  <c r="G318"/>
  <c r="H314"/>
  <c r="H313" s="1"/>
  <c r="H312" s="1"/>
  <c r="G314"/>
  <c r="G313" s="1"/>
  <c r="G312" s="1"/>
  <c r="H310"/>
  <c r="G310"/>
  <c r="G306"/>
  <c r="H303"/>
  <c r="G303"/>
  <c r="H298"/>
  <c r="G298"/>
  <c r="H290"/>
  <c r="G290"/>
  <c r="H284"/>
  <c r="H283" s="1"/>
  <c r="G284"/>
  <c r="G283" s="1"/>
  <c r="H281"/>
  <c r="G281"/>
  <c r="H278"/>
  <c r="H277" s="1"/>
  <c r="G278"/>
  <c r="G277" s="1"/>
  <c r="H275"/>
  <c r="H272"/>
  <c r="H271" s="1"/>
  <c r="G272"/>
  <c r="H268"/>
  <c r="G268"/>
  <c r="G266"/>
  <c r="G265" s="1"/>
  <c r="G264" s="1"/>
  <c r="H262"/>
  <c r="H261" s="1"/>
  <c r="G262"/>
  <c r="G261" s="1"/>
  <c r="H257"/>
  <c r="H256" s="1"/>
  <c r="G257"/>
  <c r="G256" s="1"/>
  <c r="H254"/>
  <c r="G254"/>
  <c r="H252"/>
  <c r="G252"/>
  <c r="G249"/>
  <c r="H239"/>
  <c r="G239"/>
  <c r="H237"/>
  <c r="H236" s="1"/>
  <c r="G237"/>
  <c r="G236" s="1"/>
  <c r="H233"/>
  <c r="G233"/>
  <c r="H228"/>
  <c r="G228"/>
  <c r="H226"/>
  <c r="G226"/>
  <c r="H224"/>
  <c r="H223" s="1"/>
  <c r="G224"/>
  <c r="H221"/>
  <c r="H220" s="1"/>
  <c r="G221"/>
  <c r="G220" s="1"/>
  <c r="H218"/>
  <c r="G218"/>
  <c r="H216"/>
  <c r="H215" s="1"/>
  <c r="G216"/>
  <c r="G215" s="1"/>
  <c r="H213"/>
  <c r="G213"/>
  <c r="H210"/>
  <c r="H209" s="1"/>
  <c r="G210"/>
  <c r="G209" s="1"/>
  <c r="H205"/>
  <c r="H204" s="1"/>
  <c r="G205"/>
  <c r="G204" s="1"/>
  <c r="H202"/>
  <c r="H201" s="1"/>
  <c r="G202"/>
  <c r="G201" s="1"/>
  <c r="H199"/>
  <c r="H198" s="1"/>
  <c r="H197" s="1"/>
  <c r="G199"/>
  <c r="G198" s="1"/>
  <c r="G195"/>
  <c r="G194" s="1"/>
  <c r="G193" s="1"/>
  <c r="H186"/>
  <c r="G186"/>
  <c r="H184"/>
  <c r="G184"/>
  <c r="H181"/>
  <c r="H180" s="1"/>
  <c r="G181"/>
  <c r="H178"/>
  <c r="H177" s="1"/>
  <c r="H174"/>
  <c r="G174"/>
  <c r="H172"/>
  <c r="G172"/>
  <c r="H169"/>
  <c r="G169"/>
  <c r="H167"/>
  <c r="G167"/>
  <c r="H158"/>
  <c r="G158"/>
  <c r="G153"/>
  <c r="H150"/>
  <c r="G150"/>
  <c r="G147"/>
  <c r="G141"/>
  <c r="G133"/>
  <c r="H126"/>
  <c r="G120"/>
  <c r="G119" s="1"/>
  <c r="G118" s="1"/>
  <c r="H115"/>
  <c r="H114" s="1"/>
  <c r="G115"/>
  <c r="G114" s="1"/>
  <c r="H112"/>
  <c r="I112"/>
  <c r="G112"/>
  <c r="H110"/>
  <c r="G110"/>
  <c r="H100"/>
  <c r="G100"/>
  <c r="G99" s="1"/>
  <c r="H97"/>
  <c r="G97"/>
  <c r="H92"/>
  <c r="G95"/>
  <c r="G92"/>
  <c r="H87"/>
  <c r="G87"/>
  <c r="H75"/>
  <c r="G71"/>
  <c r="H63"/>
  <c r="H55"/>
  <c r="H31"/>
  <c r="G434"/>
  <c r="G433" s="1"/>
  <c r="H431"/>
  <c r="H430" s="1"/>
  <c r="H429"/>
  <c r="H428" s="1"/>
  <c r="H396"/>
  <c r="I396" s="1"/>
  <c r="I377"/>
  <c r="I376" s="1"/>
  <c r="I374"/>
  <c r="I373"/>
  <c r="I371"/>
  <c r="I364"/>
  <c r="I363" s="1"/>
  <c r="H355"/>
  <c r="H354" s="1"/>
  <c r="H352"/>
  <c r="I352" s="1"/>
  <c r="H351"/>
  <c r="H350" s="1"/>
  <c r="H307"/>
  <c r="H306" s="1"/>
  <c r="G276"/>
  <c r="G275" s="1"/>
  <c r="H267"/>
  <c r="H266" s="1"/>
  <c r="H265" s="1"/>
  <c r="H264" s="1"/>
  <c r="I255"/>
  <c r="I254" s="1"/>
  <c r="H250"/>
  <c r="H249" s="1"/>
  <c r="H248" s="1"/>
  <c r="H247" s="1"/>
  <c r="G232"/>
  <c r="G231" s="1"/>
  <c r="G230" s="1"/>
  <c r="H427" l="1"/>
  <c r="H426" s="1"/>
  <c r="G248"/>
  <c r="H297"/>
  <c r="H296" s="1"/>
  <c r="H332"/>
  <c r="G180"/>
  <c r="G223"/>
  <c r="H270"/>
  <c r="G369"/>
  <c r="G368" s="1"/>
  <c r="G361" s="1"/>
  <c r="H394"/>
  <c r="G427"/>
  <c r="H99"/>
  <c r="G271"/>
  <c r="G317"/>
  <c r="G316" s="1"/>
  <c r="G208"/>
  <c r="G197"/>
  <c r="G91"/>
  <c r="G90" s="1"/>
  <c r="G353"/>
  <c r="G331" s="1"/>
  <c r="G270"/>
  <c r="G297"/>
  <c r="G296" s="1"/>
  <c r="G426"/>
  <c r="G247"/>
  <c r="I322"/>
  <c r="H317"/>
  <c r="H316" s="1"/>
  <c r="H295" s="1"/>
  <c r="G7" i="59" s="1"/>
  <c r="I187" i="64"/>
  <c r="I186" s="1"/>
  <c r="H157"/>
  <c r="I157" s="1"/>
  <c r="H155"/>
  <c r="H149"/>
  <c r="H139"/>
  <c r="I149" l="1"/>
  <c r="I147" s="1"/>
  <c r="H147"/>
  <c r="G330"/>
  <c r="F8" i="59" s="1"/>
  <c r="I139" i="64"/>
  <c r="H133"/>
  <c r="I155"/>
  <c r="H153"/>
  <c r="G295"/>
  <c r="F7" i="59" s="1"/>
  <c r="G207" i="64"/>
  <c r="F6" i="59" s="1"/>
  <c r="H96" i="64"/>
  <c r="H95" s="1"/>
  <c r="H91" s="1"/>
  <c r="H90" s="1"/>
  <c r="H84"/>
  <c r="H83" s="1"/>
  <c r="H82" s="1"/>
  <c r="G84"/>
  <c r="G83" s="1"/>
  <c r="G82" s="1"/>
  <c r="G75"/>
  <c r="G70" s="1"/>
  <c r="G40"/>
  <c r="G39"/>
  <c r="G38"/>
  <c r="G46" s="1"/>
  <c r="G47"/>
  <c r="G53"/>
  <c r="I53" s="1"/>
  <c r="G63" l="1"/>
  <c r="I68"/>
  <c r="G51"/>
  <c r="G9"/>
  <c r="G21" s="1"/>
  <c r="G24"/>
  <c r="G22"/>
  <c r="I22" s="1"/>
  <c r="G14"/>
  <c r="I14" s="1"/>
  <c r="G11"/>
  <c r="I11" s="1"/>
  <c r="G10"/>
  <c r="G25" l="1"/>
  <c r="I25" s="1"/>
  <c r="I24"/>
  <c r="G37"/>
  <c r="G29"/>
  <c r="G8"/>
  <c r="I444" l="1"/>
  <c r="I443" s="1"/>
  <c r="I442" s="1"/>
  <c r="I429"/>
  <c r="I428" s="1"/>
  <c r="H9"/>
  <c r="H10"/>
  <c r="I10" s="1"/>
  <c r="H12"/>
  <c r="I12" s="1"/>
  <c r="H13"/>
  <c r="I13" s="1"/>
  <c r="H21"/>
  <c r="I21" s="1"/>
  <c r="H29"/>
  <c r="I29" s="1"/>
  <c r="H30"/>
  <c r="I30" s="1"/>
  <c r="H38"/>
  <c r="H39"/>
  <c r="I39" s="1"/>
  <c r="H40"/>
  <c r="I40" s="1"/>
  <c r="H46"/>
  <c r="I46" s="1"/>
  <c r="H47"/>
  <c r="I47" s="1"/>
  <c r="H51"/>
  <c r="I51" s="1"/>
  <c r="H52"/>
  <c r="I52" s="1"/>
  <c r="I84"/>
  <c r="I88"/>
  <c r="G61"/>
  <c r="G60" s="1"/>
  <c r="H62"/>
  <c r="I64"/>
  <c r="H72"/>
  <c r="H73"/>
  <c r="I73" s="1"/>
  <c r="H74"/>
  <c r="I74" s="1"/>
  <c r="I96"/>
  <c r="I95" s="1"/>
  <c r="I98"/>
  <c r="I97" s="1"/>
  <c r="I101"/>
  <c r="I116"/>
  <c r="I115" s="1"/>
  <c r="I114" s="1"/>
  <c r="I111"/>
  <c r="I110" s="1"/>
  <c r="H121"/>
  <c r="I121" s="1"/>
  <c r="H125"/>
  <c r="H124" s="1"/>
  <c r="I134"/>
  <c r="I133" s="1"/>
  <c r="H143"/>
  <c r="H145"/>
  <c r="I145" s="1"/>
  <c r="H144"/>
  <c r="I144" s="1"/>
  <c r="I175"/>
  <c r="I174" s="1"/>
  <c r="I142"/>
  <c r="I151"/>
  <c r="I150" s="1"/>
  <c r="I154"/>
  <c r="I153" s="1"/>
  <c r="I159"/>
  <c r="I158" s="1"/>
  <c r="I168"/>
  <c r="I167" s="1"/>
  <c r="I170"/>
  <c r="I169" s="1"/>
  <c r="I173"/>
  <c r="I172" s="1"/>
  <c r="I191"/>
  <c r="I182"/>
  <c r="I181" s="1"/>
  <c r="I185"/>
  <c r="I184" s="1"/>
  <c r="G190"/>
  <c r="G189" s="1"/>
  <c r="H196"/>
  <c r="I200"/>
  <c r="I199" s="1"/>
  <c r="I198" s="1"/>
  <c r="I206"/>
  <c r="I205" s="1"/>
  <c r="I204" s="1"/>
  <c r="I217"/>
  <c r="I216" s="1"/>
  <c r="I219"/>
  <c r="I218" s="1"/>
  <c r="I222"/>
  <c r="I221" s="1"/>
  <c r="I220" s="1"/>
  <c r="I225"/>
  <c r="I224" s="1"/>
  <c r="I227"/>
  <c r="I226" s="1"/>
  <c r="I229"/>
  <c r="I228" s="1"/>
  <c r="I211"/>
  <c r="I210" s="1"/>
  <c r="I238"/>
  <c r="I237" s="1"/>
  <c r="I214"/>
  <c r="I213" s="1"/>
  <c r="I240"/>
  <c r="I239" s="1"/>
  <c r="H232"/>
  <c r="H231" s="1"/>
  <c r="H230" s="1"/>
  <c r="H208" s="1"/>
  <c r="H207" s="1"/>
  <c r="G6" i="59" s="1"/>
  <c r="I234" i="64"/>
  <c r="I233" s="1"/>
  <c r="I250"/>
  <c r="I249" s="1"/>
  <c r="I285"/>
  <c r="I284" s="1"/>
  <c r="I291"/>
  <c r="I290" s="1"/>
  <c r="I253"/>
  <c r="I252" s="1"/>
  <c r="I258"/>
  <c r="I257" s="1"/>
  <c r="I256" s="1"/>
  <c r="I263"/>
  <c r="I262" s="1"/>
  <c r="I261" s="1"/>
  <c r="I267"/>
  <c r="I266" s="1"/>
  <c r="I265" s="1"/>
  <c r="I264" s="1"/>
  <c r="I269"/>
  <c r="I268" s="1"/>
  <c r="I273"/>
  <c r="I272" s="1"/>
  <c r="I271" s="1"/>
  <c r="I276"/>
  <c r="I275" s="1"/>
  <c r="I279"/>
  <c r="I278" s="1"/>
  <c r="I277" s="1"/>
  <c r="I282"/>
  <c r="I281" s="1"/>
  <c r="I299"/>
  <c r="I298" s="1"/>
  <c r="I304"/>
  <c r="I303" s="1"/>
  <c r="I307"/>
  <c r="I306" s="1"/>
  <c r="I311"/>
  <c r="I310" s="1"/>
  <c r="I315"/>
  <c r="I314" s="1"/>
  <c r="I313" s="1"/>
  <c r="I312" s="1"/>
  <c r="I321"/>
  <c r="I320" s="1"/>
  <c r="I326"/>
  <c r="I325" s="1"/>
  <c r="I334"/>
  <c r="I333" s="1"/>
  <c r="I344"/>
  <c r="I343" s="1"/>
  <c r="I346"/>
  <c r="I345" s="1"/>
  <c r="I348"/>
  <c r="I347" s="1"/>
  <c r="I355"/>
  <c r="I354" s="1"/>
  <c r="H358"/>
  <c r="H357" s="1"/>
  <c r="H353" s="1"/>
  <c r="H331" s="1"/>
  <c r="I351"/>
  <c r="I350" s="1"/>
  <c r="I360"/>
  <c r="I359" s="1"/>
  <c r="H367"/>
  <c r="I370"/>
  <c r="I369" s="1"/>
  <c r="I368" s="1"/>
  <c r="I381"/>
  <c r="I380" s="1"/>
  <c r="I379" s="1"/>
  <c r="I378" s="1"/>
  <c r="I387"/>
  <c r="I386" s="1"/>
  <c r="H393"/>
  <c r="H392" s="1"/>
  <c r="H385" s="1"/>
  <c r="H384" s="1"/>
  <c r="I395"/>
  <c r="I394" s="1"/>
  <c r="I398"/>
  <c r="I397" s="1"/>
  <c r="I400"/>
  <c r="I399" s="1"/>
  <c r="H407"/>
  <c r="H408"/>
  <c r="I408" s="1"/>
  <c r="H409"/>
  <c r="I409" s="1"/>
  <c r="I418"/>
  <c r="G425"/>
  <c r="G424" s="1"/>
  <c r="G402" s="1"/>
  <c r="G401" s="1"/>
  <c r="G383" s="1"/>
  <c r="F9" i="59" s="1"/>
  <c r="H425" i="64"/>
  <c r="H424" s="1"/>
  <c r="H421"/>
  <c r="I414"/>
  <c r="I413" s="1"/>
  <c r="I431"/>
  <c r="I430" s="1"/>
  <c r="I434"/>
  <c r="I433" s="1"/>
  <c r="I436"/>
  <c r="I437"/>
  <c r="I404"/>
  <c r="I440"/>
  <c r="I441"/>
  <c r="H449"/>
  <c r="H448" s="1"/>
  <c r="H447" s="1"/>
  <c r="H446" s="1"/>
  <c r="H445" s="1"/>
  <c r="G10" i="59" s="1"/>
  <c r="H10" s="1"/>
  <c r="I215" i="64" l="1"/>
  <c r="I180"/>
  <c r="I143"/>
  <c r="H141"/>
  <c r="H123" s="1"/>
  <c r="H122" s="1"/>
  <c r="I209"/>
  <c r="I141"/>
  <c r="I421"/>
  <c r="I417" s="1"/>
  <c r="H417"/>
  <c r="H403"/>
  <c r="I407"/>
  <c r="I367"/>
  <c r="I366" s="1"/>
  <c r="I362" s="1"/>
  <c r="I361" s="1"/>
  <c r="H366"/>
  <c r="H362" s="1"/>
  <c r="H361" s="1"/>
  <c r="H330" s="1"/>
  <c r="G8" i="59" s="1"/>
  <c r="I196" i="64"/>
  <c r="I195" s="1"/>
  <c r="I194" s="1"/>
  <c r="H195"/>
  <c r="H194" s="1"/>
  <c r="I403"/>
  <c r="I435"/>
  <c r="I317"/>
  <c r="I316" s="1"/>
  <c r="I283"/>
  <c r="I270" s="1"/>
  <c r="I236"/>
  <c r="I223"/>
  <c r="I332"/>
  <c r="I427"/>
  <c r="I248"/>
  <c r="I297"/>
  <c r="I296" s="1"/>
  <c r="I247"/>
  <c r="H120"/>
  <c r="H119" s="1"/>
  <c r="H118" s="1"/>
  <c r="I62"/>
  <c r="I61" s="1"/>
  <c r="H61"/>
  <c r="H60" s="1"/>
  <c r="I83"/>
  <c r="G55"/>
  <c r="G36" s="1"/>
  <c r="G31"/>
  <c r="G7" s="1"/>
  <c r="H8"/>
  <c r="H7" s="1"/>
  <c r="I100"/>
  <c r="I99" s="1"/>
  <c r="H71"/>
  <c r="H70" s="1"/>
  <c r="I63"/>
  <c r="I60" s="1"/>
  <c r="I87"/>
  <c r="H37"/>
  <c r="H36" s="1"/>
  <c r="G125"/>
  <c r="I56"/>
  <c r="I55" s="1"/>
  <c r="I120"/>
  <c r="I119" s="1"/>
  <c r="I118" s="1"/>
  <c r="I425"/>
  <c r="I424" s="1"/>
  <c r="I358"/>
  <c r="I357" s="1"/>
  <c r="I353" s="1"/>
  <c r="I232"/>
  <c r="I231" s="1"/>
  <c r="I230" s="1"/>
  <c r="I208" s="1"/>
  <c r="I449"/>
  <c r="I448" s="1"/>
  <c r="I447" s="1"/>
  <c r="I446" s="1"/>
  <c r="I445" s="1"/>
  <c r="I439"/>
  <c r="I438" s="1"/>
  <c r="I426" s="1"/>
  <c r="I393"/>
  <c r="I392" s="1"/>
  <c r="I385" s="1"/>
  <c r="I384" s="1"/>
  <c r="I93"/>
  <c r="I92" s="1"/>
  <c r="I91" s="1"/>
  <c r="I76"/>
  <c r="I75" s="1"/>
  <c r="I32"/>
  <c r="I31" s="1"/>
  <c r="I331" l="1"/>
  <c r="I330" s="1"/>
  <c r="I295"/>
  <c r="I402"/>
  <c r="I401" s="1"/>
  <c r="I383" s="1"/>
  <c r="H402"/>
  <c r="H401" s="1"/>
  <c r="H383" s="1"/>
  <c r="G9" i="59" s="1"/>
  <c r="G127" i="64"/>
  <c r="G129"/>
  <c r="I129" s="1"/>
  <c r="G130"/>
  <c r="I130" s="1"/>
  <c r="H6"/>
  <c r="H5" s="1"/>
  <c r="G4" i="59" s="1"/>
  <c r="G6" i="64"/>
  <c r="G5" s="1"/>
  <c r="F4" i="59" s="1"/>
  <c r="I207" i="64"/>
  <c r="I90"/>
  <c r="I82"/>
  <c r="G128"/>
  <c r="G124"/>
  <c r="G132"/>
  <c r="I132" s="1"/>
  <c r="H190"/>
  <c r="H189" s="1"/>
  <c r="H176" s="1"/>
  <c r="I72"/>
  <c r="I71" s="1"/>
  <c r="I70" s="1"/>
  <c r="I38"/>
  <c r="I37" s="1"/>
  <c r="I36" s="1"/>
  <c r="I125"/>
  <c r="I124" s="1"/>
  <c r="I9"/>
  <c r="I8" s="1"/>
  <c r="I7" s="1"/>
  <c r="G131" l="1"/>
  <c r="I131" s="1"/>
  <c r="I128"/>
  <c r="G126"/>
  <c r="G123" s="1"/>
  <c r="G122" s="1"/>
  <c r="I6"/>
  <c r="I5" s="1"/>
  <c r="I127"/>
  <c r="I126" s="1"/>
  <c r="I123" s="1"/>
  <c r="I122" s="1"/>
  <c r="I190"/>
  <c r="I189" s="1"/>
  <c r="H193"/>
  <c r="I193" s="1"/>
  <c r="H450" l="1"/>
  <c r="G5" i="59"/>
  <c r="G33" i="63"/>
  <c r="G32"/>
  <c r="G31"/>
  <c r="G30"/>
  <c r="G26"/>
  <c r="G25"/>
  <c r="G24"/>
  <c r="G23"/>
  <c r="G81"/>
  <c r="G59"/>
  <c r="G65"/>
  <c r="G66"/>
  <c r="G63"/>
  <c r="G62"/>
  <c r="G61"/>
  <c r="G55"/>
  <c r="G56"/>
  <c r="G57"/>
  <c r="G49"/>
  <c r="G54"/>
  <c r="I49"/>
  <c r="G43"/>
  <c r="I43" s="1"/>
  <c r="G50"/>
  <c r="I50" s="1"/>
  <c r="G48"/>
  <c r="I48" s="1"/>
  <c r="G47"/>
  <c r="I47" s="1"/>
  <c r="G46"/>
  <c r="I46" s="1"/>
  <c r="G45"/>
  <c r="I45" s="1"/>
  <c r="G44"/>
  <c r="I44" s="1"/>
  <c r="G42"/>
  <c r="I42" s="1"/>
  <c r="G41"/>
  <c r="I41" s="1"/>
  <c r="G40"/>
  <c r="I40" s="1"/>
  <c r="G39"/>
  <c r="I39" s="1"/>
  <c r="G38"/>
  <c r="G53" l="1"/>
  <c r="G22"/>
  <c r="G29"/>
  <c r="I38"/>
  <c r="I37" s="1"/>
  <c r="G37"/>
  <c r="G21"/>
  <c r="I115"/>
  <c r="I114" s="1"/>
  <c r="I110"/>
  <c r="I109"/>
  <c r="I108"/>
  <c r="I104"/>
  <c r="I103"/>
  <c r="I102"/>
  <c r="I98"/>
  <c r="I97"/>
  <c r="I93"/>
  <c r="I92"/>
  <c r="I91"/>
  <c r="I89"/>
  <c r="I87"/>
  <c r="I86"/>
  <c r="I82"/>
  <c r="I81"/>
  <c r="I79"/>
  <c r="I78" s="1"/>
  <c r="I77"/>
  <c r="I76"/>
  <c r="I75"/>
  <c r="I74"/>
  <c r="I72"/>
  <c r="I70"/>
  <c r="I68"/>
  <c r="I67" s="1"/>
  <c r="I66"/>
  <c r="I65"/>
  <c r="I64"/>
  <c r="I63"/>
  <c r="I62"/>
  <c r="I61"/>
  <c r="I60"/>
  <c r="I59"/>
  <c r="I58"/>
  <c r="I57"/>
  <c r="I56"/>
  <c r="I55"/>
  <c r="I54"/>
  <c r="I52"/>
  <c r="I51" s="1"/>
  <c r="I35"/>
  <c r="I34" s="1"/>
  <c r="I33"/>
  <c r="I32"/>
  <c r="I31"/>
  <c r="I30"/>
  <c r="I28"/>
  <c r="I27" s="1"/>
  <c r="I26"/>
  <c r="I25"/>
  <c r="I24"/>
  <c r="I23"/>
  <c r="I21"/>
  <c r="I20" s="1"/>
  <c r="I16"/>
  <c r="I15"/>
  <c r="I14"/>
  <c r="G112"/>
  <c r="G111" s="1"/>
  <c r="H112"/>
  <c r="H10"/>
  <c r="I10" s="1"/>
  <c r="H9"/>
  <c r="D9" i="59"/>
  <c r="D10"/>
  <c r="D11"/>
  <c r="D12"/>
  <c r="H13"/>
  <c r="D13"/>
  <c r="G12"/>
  <c r="H12" s="1"/>
  <c r="G11"/>
  <c r="H11" s="1"/>
  <c r="C8"/>
  <c r="D8" s="1"/>
  <c r="C7"/>
  <c r="D7" s="1"/>
  <c r="H111" i="63"/>
  <c r="I111" l="1"/>
  <c r="I29"/>
  <c r="I53"/>
  <c r="H8"/>
  <c r="I9"/>
  <c r="I8" s="1"/>
  <c r="I7" s="1"/>
  <c r="I6" s="1"/>
  <c r="I5" s="1"/>
  <c r="I13"/>
  <c r="I12" s="1"/>
  <c r="I22"/>
  <c r="I112"/>
  <c r="H7" l="1"/>
  <c r="H116" l="1"/>
  <c r="H7" i="59" l="1"/>
  <c r="C14"/>
  <c r="D4"/>
  <c r="G116" i="63"/>
  <c r="I116"/>
  <c r="H4" i="59" l="1"/>
  <c r="H9"/>
  <c r="H6"/>
  <c r="H8" l="1"/>
  <c r="B14"/>
  <c r="D14" s="1"/>
  <c r="D5"/>
  <c r="G14" l="1"/>
  <c r="I203" i="64"/>
  <c r="I202" s="1"/>
  <c r="I201" s="1"/>
  <c r="I197" s="1"/>
  <c r="I179" l="1"/>
  <c r="I178" s="1"/>
  <c r="I177" s="1"/>
  <c r="I176" s="1"/>
  <c r="I450" s="1"/>
  <c r="G178"/>
  <c r="G177" s="1"/>
  <c r="G176" s="1"/>
  <c r="G450" l="1"/>
  <c r="F5" i="59"/>
  <c r="F14" l="1"/>
  <c r="H14" s="1"/>
  <c r="H5"/>
</calcChain>
</file>

<file path=xl/sharedStrings.xml><?xml version="1.0" encoding="utf-8"?>
<sst xmlns="http://schemas.openxmlformats.org/spreadsheetml/2006/main" count="1016" uniqueCount="653">
  <si>
    <t>정책</t>
    <phoneticPr fontId="2" type="noConversion"/>
  </si>
  <si>
    <t>세부</t>
    <phoneticPr fontId="2" type="noConversion"/>
  </si>
  <si>
    <t>원가통계비목</t>
    <phoneticPr fontId="2" type="noConversion"/>
  </si>
  <si>
    <t>교직원 보수</t>
    <phoneticPr fontId="21" type="noConversion"/>
  </si>
  <si>
    <t>보직수당</t>
    <phoneticPr fontId="21" type="noConversion"/>
  </si>
  <si>
    <t>지방자치단체이전수입</t>
    <phoneticPr fontId="21" type="noConversion"/>
  </si>
  <si>
    <t>비법정이전수입</t>
    <phoneticPr fontId="21" type="noConversion"/>
  </si>
  <si>
    <t>기초자치단체전입금</t>
    <phoneticPr fontId="21" type="noConversion"/>
  </si>
  <si>
    <t>기타보조금</t>
    <phoneticPr fontId="21" type="noConversion"/>
  </si>
  <si>
    <t>교원 자격연수비 외</t>
    <phoneticPr fontId="21" type="noConversion"/>
  </si>
  <si>
    <t>약품구입비</t>
    <phoneticPr fontId="21" type="noConversion"/>
  </si>
  <si>
    <t>방과후학교강사료</t>
    <phoneticPr fontId="21" type="noConversion"/>
  </si>
  <si>
    <t>학생현장실습경비</t>
    <phoneticPr fontId="21" type="noConversion"/>
  </si>
  <si>
    <t>시험관리비</t>
    <phoneticPr fontId="21" type="noConversion"/>
  </si>
  <si>
    <t>교육용소모품비</t>
    <phoneticPr fontId="21" type="noConversion"/>
  </si>
  <si>
    <t>각종 수수료</t>
    <phoneticPr fontId="2" type="noConversion"/>
  </si>
  <si>
    <t>단위</t>
    <phoneticPr fontId="2" type="noConversion"/>
  </si>
  <si>
    <t>항목</t>
    <phoneticPr fontId="2" type="noConversion"/>
  </si>
  <si>
    <t>산출내역</t>
    <phoneticPr fontId="2" type="noConversion"/>
  </si>
  <si>
    <t>이전수입</t>
    <phoneticPr fontId="21" type="noConversion"/>
  </si>
  <si>
    <t>사학법인이전수입</t>
    <phoneticPr fontId="21" type="noConversion"/>
  </si>
  <si>
    <t>법인법정부담금</t>
    <phoneticPr fontId="21" type="noConversion"/>
  </si>
  <si>
    <t>급식비</t>
    <phoneticPr fontId="21" type="noConversion"/>
  </si>
  <si>
    <t>현장체험학습비</t>
    <phoneticPr fontId="21" type="noConversion"/>
  </si>
  <si>
    <t>1학년 수학여행비</t>
    <phoneticPr fontId="21" type="noConversion"/>
  </si>
  <si>
    <t>2학년 수련학습 활동비</t>
    <phoneticPr fontId="21" type="noConversion"/>
  </si>
  <si>
    <t>시간외근무수당</t>
    <phoneticPr fontId="21" type="noConversion"/>
  </si>
  <si>
    <t>초과근무수당 초과분</t>
    <phoneticPr fontId="21" type="noConversion"/>
  </si>
  <si>
    <t>정액급식비</t>
    <phoneticPr fontId="21" type="noConversion"/>
  </si>
  <si>
    <t>상담교사 국민연금부담금</t>
    <phoneticPr fontId="21" type="noConversion"/>
  </si>
  <si>
    <t>기간제근로자건강보험부담금</t>
    <phoneticPr fontId="21" type="noConversion"/>
  </si>
  <si>
    <t>상담교사 건강보험부담금</t>
    <phoneticPr fontId="21" type="noConversion"/>
  </si>
  <si>
    <t>기간제근로자산업재해보험료</t>
    <phoneticPr fontId="21" type="noConversion"/>
  </si>
  <si>
    <t>상담교사 산업재해보험료</t>
    <phoneticPr fontId="21" type="noConversion"/>
  </si>
  <si>
    <t>상담교사 고용보험부담금</t>
    <phoneticPr fontId="21" type="noConversion"/>
  </si>
  <si>
    <t>사무용품 구입</t>
    <phoneticPr fontId="21" type="noConversion"/>
  </si>
  <si>
    <t>교육여건 개선</t>
    <phoneticPr fontId="21" type="noConversion"/>
  </si>
  <si>
    <t>학교 일반운영</t>
    <phoneticPr fontId="21" type="noConversion"/>
  </si>
  <si>
    <t>부서 기본 운영</t>
    <phoneticPr fontId="21" type="noConversion"/>
  </si>
  <si>
    <t>기관운영 업무추진비</t>
    <phoneticPr fontId="21" type="noConversion"/>
  </si>
  <si>
    <t>집기비품임차료</t>
    <phoneticPr fontId="2" type="noConversion"/>
  </si>
  <si>
    <t>수임및자문료</t>
    <phoneticPr fontId="21" type="noConversion"/>
  </si>
  <si>
    <t>회계감사수수료</t>
    <phoneticPr fontId="21" type="noConversion"/>
  </si>
  <si>
    <t>보험료</t>
    <phoneticPr fontId="21" type="noConversion"/>
  </si>
  <si>
    <t>신원보증보험료</t>
    <phoneticPr fontId="21" type="noConversion"/>
  </si>
  <si>
    <t>범용프로그램사용료</t>
    <phoneticPr fontId="21" type="noConversion"/>
  </si>
  <si>
    <t>행정관리 소프트웨어 사용료</t>
    <phoneticPr fontId="21" type="noConversion"/>
  </si>
  <si>
    <t>무인경비시스템유지비</t>
    <phoneticPr fontId="21" type="noConversion"/>
  </si>
  <si>
    <t>기타학교업무위탁용역비</t>
    <phoneticPr fontId="21" type="noConversion"/>
  </si>
  <si>
    <t>통신장비 유지보수비용</t>
    <phoneticPr fontId="21" type="noConversion"/>
  </si>
  <si>
    <t>컴퓨터 유지보수비</t>
    <phoneticPr fontId="21" type="noConversion"/>
  </si>
  <si>
    <t>차량선박소모품비</t>
    <phoneticPr fontId="21" type="noConversion"/>
  </si>
  <si>
    <t>우편요금</t>
    <phoneticPr fontId="21" type="noConversion"/>
  </si>
  <si>
    <t>학교운영위원회 회의비</t>
    <phoneticPr fontId="21" type="noConversion"/>
  </si>
  <si>
    <t>학교시설 확충</t>
    <phoneticPr fontId="21" type="noConversion"/>
  </si>
  <si>
    <t>과목</t>
    <phoneticPr fontId="2" type="noConversion"/>
  </si>
  <si>
    <t>기획연구부 운영경비</t>
    <phoneticPr fontId="21" type="noConversion"/>
  </si>
  <si>
    <t>입학관리부 운영경비</t>
    <phoneticPr fontId="21" type="noConversion"/>
  </si>
  <si>
    <t>1학년부 운영경비</t>
    <phoneticPr fontId="21" type="noConversion"/>
  </si>
  <si>
    <t>2학년부 운영경비</t>
    <phoneticPr fontId="21" type="noConversion"/>
  </si>
  <si>
    <t>3학년부 운영경비</t>
    <phoneticPr fontId="21" type="noConversion"/>
  </si>
  <si>
    <t>과학과 운영비</t>
    <phoneticPr fontId="21" type="noConversion"/>
  </si>
  <si>
    <t>외국어과 운영비</t>
    <phoneticPr fontId="21" type="noConversion"/>
  </si>
  <si>
    <t>명절휴가비</t>
    <phoneticPr fontId="21" type="noConversion"/>
  </si>
  <si>
    <t>기술정보수당</t>
    <phoneticPr fontId="21" type="noConversion"/>
  </si>
  <si>
    <t>특수직무수당</t>
    <phoneticPr fontId="21" type="noConversion"/>
  </si>
  <si>
    <t>교원연구비</t>
    <phoneticPr fontId="21" type="noConversion"/>
  </si>
  <si>
    <t>관리수당</t>
    <phoneticPr fontId="21" type="noConversion"/>
  </si>
  <si>
    <t>기간제 퇴직금</t>
    <phoneticPr fontId="2" type="noConversion"/>
  </si>
  <si>
    <t>계약직 직원 인건비</t>
    <phoneticPr fontId="21" type="noConversion"/>
  </si>
  <si>
    <t>기간제근로자법정부담금</t>
    <phoneticPr fontId="21" type="noConversion"/>
  </si>
  <si>
    <t>교직원 복지 및 역량강화</t>
    <phoneticPr fontId="21" type="noConversion"/>
  </si>
  <si>
    <t>연수참가 경비 및 등록비</t>
    <phoneticPr fontId="21" type="noConversion"/>
  </si>
  <si>
    <t>간행물 구독료</t>
    <phoneticPr fontId="21" type="noConversion"/>
  </si>
  <si>
    <t>수질검사수수료</t>
    <phoneticPr fontId="21" type="noConversion"/>
  </si>
  <si>
    <t>상하수도 사용료</t>
    <phoneticPr fontId="21" type="noConversion"/>
  </si>
  <si>
    <t>기숙사안전공제회비</t>
    <phoneticPr fontId="2" type="noConversion"/>
  </si>
  <si>
    <t>피복비</t>
    <phoneticPr fontId="21" type="noConversion"/>
  </si>
  <si>
    <t>세탁비</t>
    <phoneticPr fontId="21" type="noConversion"/>
  </si>
  <si>
    <t>병원 수송 차량 임차료</t>
    <phoneticPr fontId="21" type="noConversion"/>
  </si>
  <si>
    <t>기자재 수선비</t>
    <phoneticPr fontId="21" type="noConversion"/>
  </si>
  <si>
    <t>시설관리소모품비</t>
    <phoneticPr fontId="21" type="noConversion"/>
  </si>
  <si>
    <t>설비 및 영선업무 기자재 구입비</t>
    <phoneticPr fontId="21" type="noConversion"/>
  </si>
  <si>
    <t>시설물소규모수선비</t>
    <phoneticPr fontId="21" type="noConversion"/>
  </si>
  <si>
    <t>기숙사 청소,설비 용역비</t>
    <phoneticPr fontId="21" type="noConversion"/>
  </si>
  <si>
    <t>정화조 관리위탁비</t>
    <phoneticPr fontId="21" type="noConversion"/>
  </si>
  <si>
    <t>승강기 유지보수비</t>
    <phoneticPr fontId="21" type="noConversion"/>
  </si>
  <si>
    <t>소방시설 관리위탁비</t>
    <phoneticPr fontId="21" type="noConversion"/>
  </si>
  <si>
    <t>국내여비</t>
    <phoneticPr fontId="21" type="noConversion"/>
  </si>
  <si>
    <t>졸업앨범 제작비</t>
    <phoneticPr fontId="21" type="noConversion"/>
  </si>
  <si>
    <t>교과서구입비</t>
    <phoneticPr fontId="21" type="noConversion"/>
  </si>
  <si>
    <t>교구용기타실험장비취득비</t>
    <phoneticPr fontId="21" type="noConversion"/>
  </si>
  <si>
    <t>과학 기자재 구입</t>
    <phoneticPr fontId="21" type="noConversion"/>
  </si>
  <si>
    <t>과학실 폐수 처리비</t>
    <phoneticPr fontId="21" type="noConversion"/>
  </si>
  <si>
    <t>음악 수업용 악보 구입비</t>
    <phoneticPr fontId="21" type="noConversion"/>
  </si>
  <si>
    <t>피아노 조율비</t>
    <phoneticPr fontId="21" type="noConversion"/>
  </si>
  <si>
    <t>교사용 지도서 및 교재 구입비</t>
    <phoneticPr fontId="21" type="noConversion"/>
  </si>
  <si>
    <t>학교설명회 기념품 제작비</t>
    <phoneticPr fontId="21" type="noConversion"/>
  </si>
  <si>
    <t>홍보용 영문 브로셔</t>
    <phoneticPr fontId="21" type="noConversion"/>
  </si>
  <si>
    <t>적성검사수수료</t>
    <phoneticPr fontId="21" type="noConversion"/>
  </si>
  <si>
    <t>선택적 교육활동</t>
    <phoneticPr fontId="21" type="noConversion"/>
  </si>
  <si>
    <t>교육용프로그램사용료</t>
    <phoneticPr fontId="21" type="noConversion"/>
  </si>
  <si>
    <t>국제교육</t>
    <phoneticPr fontId="21" type="noConversion"/>
  </si>
  <si>
    <t>성적우수자 시상품 구입</t>
    <phoneticPr fontId="21" type="noConversion"/>
  </si>
  <si>
    <t>상담교사 인건비</t>
    <phoneticPr fontId="21" type="noConversion"/>
  </si>
  <si>
    <t>교원건강보험료</t>
    <phoneticPr fontId="21" type="noConversion"/>
  </si>
  <si>
    <t>관   별</t>
    <phoneticPr fontId="2" type="noConversion"/>
  </si>
  <si>
    <t>1. 이전수입</t>
    <phoneticPr fontId="2" type="noConversion"/>
  </si>
  <si>
    <t>1. 인적자원운영</t>
    <phoneticPr fontId="2" type="noConversion"/>
  </si>
  <si>
    <t>2. 자체수입</t>
    <phoneticPr fontId="2" type="noConversion"/>
  </si>
  <si>
    <t>2. 학생복지 등</t>
    <phoneticPr fontId="2" type="noConversion"/>
  </si>
  <si>
    <t>3. 전년도이월금</t>
    <phoneticPr fontId="2" type="noConversion"/>
  </si>
  <si>
    <t>3. 기본적교육활동</t>
    <phoneticPr fontId="2" type="noConversion"/>
  </si>
  <si>
    <t>4. 선택적교육활동</t>
    <phoneticPr fontId="2" type="noConversion"/>
  </si>
  <si>
    <t>5. 교육활동지원</t>
    <phoneticPr fontId="2" type="noConversion"/>
  </si>
  <si>
    <t>6. 학교일반운영</t>
    <phoneticPr fontId="2" type="noConversion"/>
  </si>
  <si>
    <t>7. 학교시설확충</t>
    <phoneticPr fontId="2" type="noConversion"/>
  </si>
  <si>
    <t>8. 예비비 및 기타</t>
    <phoneticPr fontId="2" type="noConversion"/>
  </si>
  <si>
    <t>세 입 합 계</t>
    <phoneticPr fontId="2" type="noConversion"/>
  </si>
  <si>
    <t>세 출 합 계</t>
    <phoneticPr fontId="2" type="noConversion"/>
  </si>
  <si>
    <t>세  입  결  산</t>
    <phoneticPr fontId="2" type="noConversion"/>
  </si>
  <si>
    <t>세  출  결  산</t>
    <phoneticPr fontId="2" type="noConversion"/>
  </si>
  <si>
    <t>2010 예산</t>
    <phoneticPr fontId="2" type="noConversion"/>
  </si>
  <si>
    <t>(단위:원)</t>
    <phoneticPr fontId="2" type="noConversion"/>
  </si>
  <si>
    <t>2010학년도 예산</t>
    <phoneticPr fontId="2" type="noConversion"/>
  </si>
  <si>
    <t>적요</t>
    <phoneticPr fontId="2" type="noConversion"/>
  </si>
  <si>
    <t>학생 장학금 및 동아리 지원금</t>
    <phoneticPr fontId="2" type="noConversion"/>
  </si>
  <si>
    <t>증 △ 감</t>
  </si>
  <si>
    <t>2011학년도 예산(안)</t>
    <phoneticPr fontId="2" type="noConversion"/>
  </si>
  <si>
    <t>연금부담금</t>
    <phoneticPr fontId="21" type="noConversion"/>
  </si>
  <si>
    <t>법인법정부담금</t>
    <phoneticPr fontId="21" type="noConversion"/>
  </si>
  <si>
    <t>건강보험부담금</t>
    <phoneticPr fontId="2" type="noConversion"/>
  </si>
  <si>
    <t>재해보상부담금</t>
    <phoneticPr fontId="21" type="noConversion"/>
  </si>
  <si>
    <t>자체수입</t>
    <phoneticPr fontId="21" type="noConversion"/>
  </si>
  <si>
    <t>교수-학습활동수입</t>
    <phoneticPr fontId="21" type="noConversion"/>
  </si>
  <si>
    <t>기본적교육수입</t>
    <phoneticPr fontId="21" type="noConversion"/>
  </si>
  <si>
    <t>입학금</t>
    <phoneticPr fontId="21" type="noConversion"/>
  </si>
  <si>
    <t>수업료</t>
    <phoneticPr fontId="21" type="noConversion"/>
  </si>
  <si>
    <t>1분기 수업료</t>
    <phoneticPr fontId="21" type="noConversion"/>
  </si>
  <si>
    <t>2분기 수업료</t>
    <phoneticPr fontId="21" type="noConversion"/>
  </si>
  <si>
    <t>3분기 수업료</t>
    <phoneticPr fontId="21" type="noConversion"/>
  </si>
  <si>
    <t>4분기 수업료</t>
    <phoneticPr fontId="21" type="noConversion"/>
  </si>
  <si>
    <t>지난년도수업료</t>
    <phoneticPr fontId="21" type="noConversion"/>
  </si>
  <si>
    <t>지난년도수업료</t>
    <phoneticPr fontId="2" type="noConversion"/>
  </si>
  <si>
    <t>학교운영지원비</t>
    <phoneticPr fontId="21" type="noConversion"/>
  </si>
  <si>
    <t>1분기 학교운영지원비</t>
    <phoneticPr fontId="21" type="noConversion"/>
  </si>
  <si>
    <t>2분기 학교운영지원비</t>
    <phoneticPr fontId="21" type="noConversion"/>
  </si>
  <si>
    <t>3분기 학교운영지원비</t>
    <phoneticPr fontId="21" type="noConversion"/>
  </si>
  <si>
    <t>4분기 학교운영지원비</t>
    <phoneticPr fontId="21" type="noConversion"/>
  </si>
  <si>
    <t>지난년도학교운영지원비</t>
    <phoneticPr fontId="2" type="noConversion"/>
  </si>
  <si>
    <t>선택적교육수입</t>
    <phoneticPr fontId="21" type="noConversion"/>
  </si>
  <si>
    <t>기숙사 및 급식비</t>
    <phoneticPr fontId="21" type="noConversion"/>
  </si>
  <si>
    <t>급식비</t>
    <phoneticPr fontId="21" type="noConversion"/>
  </si>
  <si>
    <t>3월 급식비</t>
    <phoneticPr fontId="21" type="noConversion"/>
  </si>
  <si>
    <t>4월 급식비</t>
    <phoneticPr fontId="2" type="noConversion"/>
  </si>
  <si>
    <t>5월 급식비</t>
    <phoneticPr fontId="2" type="noConversion"/>
  </si>
  <si>
    <t>6월 급식비</t>
    <phoneticPr fontId="2" type="noConversion"/>
  </si>
  <si>
    <t>7월 급식비</t>
    <phoneticPr fontId="2" type="noConversion"/>
  </si>
  <si>
    <t>여름방학 급식비</t>
    <phoneticPr fontId="2" type="noConversion"/>
  </si>
  <si>
    <t>8월 급식비</t>
    <phoneticPr fontId="2" type="noConversion"/>
  </si>
  <si>
    <t>9월 급식비</t>
    <phoneticPr fontId="2" type="noConversion"/>
  </si>
  <si>
    <t>10월 급식비</t>
    <phoneticPr fontId="2" type="noConversion"/>
  </si>
  <si>
    <t>11월 급식비</t>
    <phoneticPr fontId="2" type="noConversion"/>
  </si>
  <si>
    <t>12월 급식비</t>
    <phoneticPr fontId="2" type="noConversion"/>
  </si>
  <si>
    <t>겨울방학 급식비</t>
    <phoneticPr fontId="2" type="noConversion"/>
  </si>
  <si>
    <t>급식비</t>
    <phoneticPr fontId="2" type="noConversion"/>
  </si>
  <si>
    <t>2월 급식비</t>
    <phoneticPr fontId="2" type="noConversion"/>
  </si>
  <si>
    <t>지난년도급식비</t>
    <phoneticPr fontId="2" type="noConversion"/>
  </si>
  <si>
    <t>기숙사비</t>
    <phoneticPr fontId="21" type="noConversion"/>
  </si>
  <si>
    <t>3월 기숙사비</t>
    <phoneticPr fontId="21" type="noConversion"/>
  </si>
  <si>
    <t>4월 기숙사비</t>
    <phoneticPr fontId="2" type="noConversion"/>
  </si>
  <si>
    <t>5월 기숙사비</t>
    <phoneticPr fontId="2" type="noConversion"/>
  </si>
  <si>
    <t>6월 기숙사비</t>
    <phoneticPr fontId="2" type="noConversion"/>
  </si>
  <si>
    <t>7월 기숙사비</t>
    <phoneticPr fontId="2" type="noConversion"/>
  </si>
  <si>
    <t>여름방학 기숙사비</t>
    <phoneticPr fontId="2" type="noConversion"/>
  </si>
  <si>
    <t>8월 기숙사비</t>
    <phoneticPr fontId="2" type="noConversion"/>
  </si>
  <si>
    <t>9월 기숙사비</t>
    <phoneticPr fontId="2" type="noConversion"/>
  </si>
  <si>
    <t>10월 기숙사비</t>
    <phoneticPr fontId="2" type="noConversion"/>
  </si>
  <si>
    <t>11월 기숙사비</t>
    <phoneticPr fontId="2" type="noConversion"/>
  </si>
  <si>
    <t>12월 기숙사비</t>
    <phoneticPr fontId="2" type="noConversion"/>
  </si>
  <si>
    <t>겨울방학 기숙사비</t>
    <phoneticPr fontId="2" type="noConversion"/>
  </si>
  <si>
    <t>기숙사비</t>
    <phoneticPr fontId="2" type="noConversion"/>
  </si>
  <si>
    <t>2월 기숙사비</t>
    <phoneticPr fontId="2" type="noConversion"/>
  </si>
  <si>
    <t>지난년도기숙사비</t>
    <phoneticPr fontId="2" type="noConversion"/>
  </si>
  <si>
    <t>단체활동에관한수입</t>
    <phoneticPr fontId="21" type="noConversion"/>
  </si>
  <si>
    <t>현장체험학습비</t>
    <phoneticPr fontId="21" type="noConversion"/>
  </si>
  <si>
    <t>1학년 수학여행비</t>
    <phoneticPr fontId="21" type="noConversion"/>
  </si>
  <si>
    <t>수련활동비</t>
    <phoneticPr fontId="2" type="noConversion"/>
  </si>
  <si>
    <t>2학년 수련학습 활동비</t>
    <phoneticPr fontId="21" type="noConversion"/>
  </si>
  <si>
    <t>방과후학교교육활동비</t>
    <phoneticPr fontId="2" type="noConversion"/>
  </si>
  <si>
    <t>1학기 특기적성비</t>
    <phoneticPr fontId="2" type="noConversion"/>
  </si>
  <si>
    <t>여름방학 특기적성비</t>
    <phoneticPr fontId="2" type="noConversion"/>
  </si>
  <si>
    <t>2학기 특기적성비</t>
    <phoneticPr fontId="21" type="noConversion"/>
  </si>
  <si>
    <t>겨울방학 특기적성비</t>
    <phoneticPr fontId="21" type="noConversion"/>
  </si>
  <si>
    <t>지난년도방과후학교교육활동비</t>
    <phoneticPr fontId="2" type="noConversion"/>
  </si>
  <si>
    <t>기타선택적교육수입</t>
    <phoneticPr fontId="21" type="noConversion"/>
  </si>
  <si>
    <t>졸업앨범대금</t>
    <phoneticPr fontId="21" type="noConversion"/>
  </si>
  <si>
    <t>교과서대금</t>
    <phoneticPr fontId="21" type="noConversion"/>
  </si>
  <si>
    <t>행정활동수입</t>
    <phoneticPr fontId="21" type="noConversion"/>
  </si>
  <si>
    <t>사용료 및 수수료수입</t>
    <phoneticPr fontId="21" type="noConversion"/>
  </si>
  <si>
    <t>수수료수입</t>
    <phoneticPr fontId="21" type="noConversion"/>
  </si>
  <si>
    <t>입학수험료</t>
    <phoneticPr fontId="2" type="noConversion"/>
  </si>
  <si>
    <t>신입생 전형료</t>
    <phoneticPr fontId="2" type="noConversion"/>
  </si>
  <si>
    <t>전.편입 전형료</t>
    <phoneticPr fontId="2" type="noConversion"/>
  </si>
  <si>
    <t>3월, 8월 전형료</t>
    <phoneticPr fontId="2" type="noConversion"/>
  </si>
  <si>
    <t>제증명수수료</t>
    <phoneticPr fontId="2" type="noConversion"/>
  </si>
  <si>
    <t>기타수수료</t>
    <phoneticPr fontId="2" type="noConversion"/>
  </si>
  <si>
    <t>AP 시험비용</t>
    <phoneticPr fontId="2" type="noConversion"/>
  </si>
  <si>
    <t>PSAT 시험비용</t>
    <phoneticPr fontId="21" type="noConversion"/>
  </si>
  <si>
    <t>모의고사비용</t>
    <phoneticPr fontId="2" type="noConversion"/>
  </si>
  <si>
    <t>자산수입</t>
    <phoneticPr fontId="21" type="noConversion"/>
  </si>
  <si>
    <t>자산 임대수입</t>
    <phoneticPr fontId="21" type="noConversion"/>
  </si>
  <si>
    <t>임대료수입</t>
    <phoneticPr fontId="21" type="noConversion"/>
  </si>
  <si>
    <t>건물임대수입</t>
    <phoneticPr fontId="2" type="noConversion"/>
  </si>
  <si>
    <t>기타자산임대수입</t>
    <phoneticPr fontId="21" type="noConversion"/>
  </si>
  <si>
    <t>통신기지국 임대료</t>
    <phoneticPr fontId="21" type="noConversion"/>
  </si>
  <si>
    <t>이자수입</t>
    <phoneticPr fontId="21" type="noConversion"/>
  </si>
  <si>
    <t>정기예금이자</t>
    <phoneticPr fontId="21" type="noConversion"/>
  </si>
  <si>
    <t>정기예금</t>
    <phoneticPr fontId="21" type="noConversion"/>
  </si>
  <si>
    <t>기타예금이자</t>
    <phoneticPr fontId="21" type="noConversion"/>
  </si>
  <si>
    <t>일반예금</t>
    <phoneticPr fontId="21" type="noConversion"/>
  </si>
  <si>
    <t>법인세환급금</t>
    <phoneticPr fontId="21" type="noConversion"/>
  </si>
  <si>
    <t>잡수입</t>
    <phoneticPr fontId="21" type="noConversion"/>
  </si>
  <si>
    <t>기타잡수입</t>
    <phoneticPr fontId="21" type="noConversion"/>
  </si>
  <si>
    <t>기타잡수입</t>
    <phoneticPr fontId="2" type="noConversion"/>
  </si>
  <si>
    <t>교생 교육실습비</t>
    <phoneticPr fontId="2" type="noConversion"/>
  </si>
  <si>
    <t>제증명 우편료 외</t>
    <phoneticPr fontId="21" type="noConversion"/>
  </si>
  <si>
    <t>상하수도요금</t>
    <phoneticPr fontId="21" type="noConversion"/>
  </si>
  <si>
    <t>상하수도요금 착오 청구액 환급</t>
    <phoneticPr fontId="2" type="noConversion"/>
  </si>
  <si>
    <t>기타</t>
    <phoneticPr fontId="21" type="noConversion"/>
  </si>
  <si>
    <t>전년도이월급</t>
    <phoneticPr fontId="21" type="noConversion"/>
  </si>
  <si>
    <t>이월금</t>
    <phoneticPr fontId="21" type="noConversion"/>
  </si>
  <si>
    <t>전년도이월사업비</t>
    <phoneticPr fontId="21" type="noConversion"/>
  </si>
  <si>
    <t>계속비이월사업비</t>
    <phoneticPr fontId="21" type="noConversion"/>
  </si>
  <si>
    <t>전년도이월금</t>
    <phoneticPr fontId="21" type="noConversion"/>
  </si>
  <si>
    <t>합    계</t>
    <phoneticPr fontId="2" type="noConversion"/>
  </si>
  <si>
    <t>임대료 (기숙사 등)</t>
    <phoneticPr fontId="2" type="noConversion"/>
  </si>
  <si>
    <t>2010년도 선급법인세</t>
    <phoneticPr fontId="2" type="noConversion"/>
  </si>
  <si>
    <t>증감률(%)</t>
    <phoneticPr fontId="2" type="noConversion"/>
  </si>
  <si>
    <t>2011 예산(안)</t>
    <phoneticPr fontId="2" type="noConversion"/>
  </si>
  <si>
    <t>2010 예산</t>
    <phoneticPr fontId="2" type="noConversion"/>
  </si>
  <si>
    <t>2011 예산</t>
    <phoneticPr fontId="2" type="noConversion"/>
  </si>
  <si>
    <t>직책수당</t>
    <phoneticPr fontId="2" type="noConversion"/>
  </si>
  <si>
    <t>보직수당</t>
    <phoneticPr fontId="2" type="noConversion"/>
  </si>
  <si>
    <t>집기취득비</t>
    <phoneticPr fontId="2" type="noConversion"/>
  </si>
  <si>
    <t>다목적관 설계 및 인가 용역비, 시설물 공사비</t>
    <phoneticPr fontId="2" type="noConversion"/>
  </si>
  <si>
    <t>건물 증축비 및 개선공사비</t>
    <phoneticPr fontId="21" type="noConversion"/>
  </si>
  <si>
    <t>건물시설비</t>
    <phoneticPr fontId="21" type="noConversion"/>
  </si>
  <si>
    <t>시설 공사비</t>
    <phoneticPr fontId="21" type="noConversion"/>
  </si>
  <si>
    <t>시설확충 및 개선</t>
    <phoneticPr fontId="21" type="noConversion"/>
  </si>
  <si>
    <t>학교운영위원회경비</t>
    <phoneticPr fontId="21" type="noConversion"/>
  </si>
  <si>
    <t>학교운영위원회 거마비</t>
    <phoneticPr fontId="21" type="noConversion"/>
  </si>
  <si>
    <t xml:space="preserve">명함 제작비 </t>
    <phoneticPr fontId="21" type="noConversion"/>
  </si>
  <si>
    <t>인쇄물및유인물제작비</t>
    <phoneticPr fontId="21" type="noConversion"/>
  </si>
  <si>
    <t>업무용 차량 소모품비</t>
    <phoneticPr fontId="21" type="noConversion"/>
  </si>
  <si>
    <t>업무용 차량 유류비</t>
    <phoneticPr fontId="21" type="noConversion"/>
  </si>
  <si>
    <t>차량유류대</t>
    <phoneticPr fontId="21" type="noConversion"/>
  </si>
  <si>
    <t>업무용 차량 임차료</t>
    <phoneticPr fontId="21" type="noConversion"/>
  </si>
  <si>
    <t>통학차량외임차료</t>
    <phoneticPr fontId="21" type="noConversion"/>
  </si>
  <si>
    <t>사무용품비</t>
    <phoneticPr fontId="21" type="noConversion"/>
  </si>
  <si>
    <t>일반행정 관리</t>
    <phoneticPr fontId="21" type="noConversion"/>
  </si>
  <si>
    <t>EHP 노후화 수선비</t>
    <phoneticPr fontId="2" type="noConversion"/>
  </si>
  <si>
    <t>시설물 수선비</t>
    <phoneticPr fontId="21" type="noConversion"/>
  </si>
  <si>
    <t>시설물분 환경개선부담금</t>
    <phoneticPr fontId="21" type="noConversion"/>
  </si>
  <si>
    <t>환경개선부담금</t>
    <phoneticPr fontId="21" type="noConversion"/>
  </si>
  <si>
    <t>폐기물 수거 비용</t>
    <phoneticPr fontId="21" type="noConversion"/>
  </si>
  <si>
    <t>폐기물처리수수료</t>
    <phoneticPr fontId="21" type="noConversion"/>
  </si>
  <si>
    <t>건물청소용역비</t>
    <phoneticPr fontId="21" type="noConversion"/>
  </si>
  <si>
    <t>방화관리자 교육비</t>
    <phoneticPr fontId="21" type="noConversion"/>
  </si>
  <si>
    <t>공무원출장여비</t>
    <phoneticPr fontId="21" type="noConversion"/>
  </si>
  <si>
    <t>건물재난 복구회비</t>
    <phoneticPr fontId="21" type="noConversion"/>
  </si>
  <si>
    <t>인터넷통신요금</t>
    <phoneticPr fontId="21" type="noConversion"/>
  </si>
  <si>
    <t>전화요금</t>
    <phoneticPr fontId="21" type="noConversion"/>
  </si>
  <si>
    <t>노트북 및 프린터 수리비</t>
    <phoneticPr fontId="21" type="noConversion"/>
  </si>
  <si>
    <t>교구.기자재소규모수선비</t>
    <phoneticPr fontId="21" type="noConversion"/>
  </si>
  <si>
    <t>도시가스요금</t>
    <phoneticPr fontId="21" type="noConversion"/>
  </si>
  <si>
    <t>도시가스료</t>
    <phoneticPr fontId="21" type="noConversion"/>
  </si>
  <si>
    <t>상하수도료</t>
    <phoneticPr fontId="21" type="noConversion"/>
  </si>
  <si>
    <t>전기요금</t>
    <phoneticPr fontId="21" type="noConversion"/>
  </si>
  <si>
    <t>시설 장비 유지</t>
    <phoneticPr fontId="21" type="noConversion"/>
  </si>
  <si>
    <t>기타수수료</t>
    <phoneticPr fontId="2" type="noConversion"/>
  </si>
  <si>
    <t>기관운영경비</t>
    <phoneticPr fontId="21" type="noConversion"/>
  </si>
  <si>
    <t>572,000원*12월</t>
    <phoneticPr fontId="2" type="noConversion"/>
  </si>
  <si>
    <t>복사기 임대료</t>
    <phoneticPr fontId="2" type="noConversion"/>
  </si>
  <si>
    <t>카렌다 제작비</t>
    <phoneticPr fontId="2" type="noConversion"/>
  </si>
  <si>
    <t>전년도 미집행액 1,520,000원</t>
    <phoneticPr fontId="2" type="noConversion"/>
  </si>
  <si>
    <t>직책급 업무추진비</t>
    <phoneticPr fontId="21" type="noConversion"/>
  </si>
  <si>
    <t>교실 및 특별실 PC 교체비</t>
    <phoneticPr fontId="21" type="noConversion"/>
  </si>
  <si>
    <t>사업추진경비</t>
    <phoneticPr fontId="21" type="noConversion"/>
  </si>
  <si>
    <t>기간제근로자고용보험부담금</t>
    <phoneticPr fontId="21" type="noConversion"/>
  </si>
  <si>
    <t>상담교사 노인장기요양보험료</t>
    <phoneticPr fontId="2" type="noConversion"/>
  </si>
  <si>
    <t>기간제근로자국민연금부담금</t>
    <phoneticPr fontId="21" type="noConversion"/>
  </si>
  <si>
    <t>기간제근로자인건비</t>
    <phoneticPr fontId="21" type="noConversion"/>
  </si>
  <si>
    <t>도서관 캐비닛 구입</t>
    <phoneticPr fontId="21" type="noConversion"/>
  </si>
  <si>
    <t>정기간행물 구독료</t>
    <phoneticPr fontId="21" type="noConversion"/>
  </si>
  <si>
    <t>간행물구독료</t>
    <phoneticPr fontId="21" type="noConversion"/>
  </si>
  <si>
    <t>도서구입비(장서)</t>
    <phoneticPr fontId="21" type="noConversion"/>
  </si>
  <si>
    <t>도서취득비</t>
    <phoneticPr fontId="21" type="noConversion"/>
  </si>
  <si>
    <t>학습지원실 운영</t>
    <phoneticPr fontId="21" type="noConversion"/>
  </si>
  <si>
    <t>학생포상금</t>
    <phoneticPr fontId="21" type="noConversion"/>
  </si>
  <si>
    <t>학부모시험감독 다과비</t>
    <phoneticPr fontId="21" type="noConversion"/>
  </si>
  <si>
    <t>학부모협의회경비</t>
    <phoneticPr fontId="21" type="noConversion"/>
  </si>
  <si>
    <t>정기고사용OMR카드구입</t>
    <phoneticPr fontId="21" type="noConversion"/>
  </si>
  <si>
    <t>논문지도 운영경비</t>
    <phoneticPr fontId="21" type="noConversion"/>
  </si>
  <si>
    <t>해외대학 지원 프로그램사용료</t>
    <phoneticPr fontId="21" type="noConversion"/>
  </si>
  <si>
    <t>국제반 내신 산출용 프로그램 구입</t>
    <phoneticPr fontId="21" type="noConversion"/>
  </si>
  <si>
    <t>교육용소프트웨어구입비</t>
    <phoneticPr fontId="21" type="noConversion"/>
  </si>
  <si>
    <t>졸업생 추수지도 간담회비</t>
    <phoneticPr fontId="21" type="noConversion"/>
  </si>
  <si>
    <t>국내반 내신 산출용 프로그램 구입</t>
    <phoneticPr fontId="21" type="noConversion"/>
  </si>
  <si>
    <t>2,000,000원*3학년</t>
    <phoneticPr fontId="2" type="noConversion"/>
  </si>
  <si>
    <t>시간강사료</t>
    <phoneticPr fontId="2" type="noConversion"/>
  </si>
  <si>
    <t>교무학사 운영</t>
    <phoneticPr fontId="21" type="noConversion"/>
  </si>
  <si>
    <t>2,500,000원*4회</t>
    <phoneticPr fontId="2" type="noConversion"/>
  </si>
  <si>
    <t>자기주도학습감독</t>
    <phoneticPr fontId="21" type="noConversion"/>
  </si>
  <si>
    <t>기본특근매식비</t>
    <phoneticPr fontId="21" type="noConversion"/>
  </si>
  <si>
    <t>출석부 구입비</t>
    <phoneticPr fontId="21" type="noConversion"/>
  </si>
  <si>
    <t>교무업무 운영</t>
    <phoneticPr fontId="21" type="noConversion"/>
  </si>
  <si>
    <t>교육활동 지원</t>
    <phoneticPr fontId="21" type="noConversion"/>
  </si>
  <si>
    <t>모의고사비용</t>
    <phoneticPr fontId="2" type="noConversion"/>
  </si>
  <si>
    <t>시험관리비</t>
    <phoneticPr fontId="2" type="noConversion"/>
  </si>
  <si>
    <t>PSAT  시험비용</t>
    <phoneticPr fontId="2" type="noConversion"/>
  </si>
  <si>
    <t>AP 시험 감독수당 및 운영비</t>
    <phoneticPr fontId="21" type="noConversion"/>
  </si>
  <si>
    <t>AP 시험비용</t>
    <phoneticPr fontId="21" type="noConversion"/>
  </si>
  <si>
    <t>OACAC회비 및 참가등록비</t>
    <phoneticPr fontId="21" type="noConversion"/>
  </si>
  <si>
    <t>해외교류출장비</t>
    <phoneticPr fontId="21" type="noConversion"/>
  </si>
  <si>
    <t>공무원국외출장여비</t>
    <phoneticPr fontId="21" type="noConversion"/>
  </si>
  <si>
    <t>외부학교 교류 운영비</t>
    <phoneticPr fontId="2" type="noConversion"/>
  </si>
  <si>
    <t>국제교류 운영경비</t>
    <phoneticPr fontId="21" type="noConversion"/>
  </si>
  <si>
    <t>영어 online-writing 첨삭비</t>
    <phoneticPr fontId="21" type="noConversion"/>
  </si>
  <si>
    <t>강사료</t>
    <phoneticPr fontId="21" type="noConversion"/>
  </si>
  <si>
    <t>1인 1체육 시설이용료</t>
    <phoneticPr fontId="21" type="noConversion"/>
  </si>
  <si>
    <t>1인 1체육 강사료</t>
    <phoneticPr fontId="21" type="noConversion"/>
  </si>
  <si>
    <t>1인 1악기 강사료</t>
    <phoneticPr fontId="21" type="noConversion"/>
  </si>
  <si>
    <t>ET 온라인 신청관리 프로그램 사용료</t>
    <phoneticPr fontId="21" type="noConversion"/>
  </si>
  <si>
    <t>ET 온라인 서버 및 소프트웨어 구입비</t>
    <phoneticPr fontId="21" type="noConversion"/>
  </si>
  <si>
    <t>방과후학교 운영</t>
    <phoneticPr fontId="21" type="noConversion"/>
  </si>
  <si>
    <t>2학년 수련학습 차량 임차료</t>
    <phoneticPr fontId="21" type="noConversion"/>
  </si>
  <si>
    <t>교육활동차량임차료</t>
    <phoneticPr fontId="21" type="noConversion"/>
  </si>
  <si>
    <t>교육활동용역비</t>
    <phoneticPr fontId="21" type="noConversion"/>
  </si>
  <si>
    <t>인솔교사 여비</t>
    <phoneticPr fontId="21" type="noConversion"/>
  </si>
  <si>
    <t>체험 활동</t>
    <phoneticPr fontId="21" type="noConversion"/>
  </si>
  <si>
    <t>교육활동강사료</t>
    <phoneticPr fontId="21" type="noConversion"/>
  </si>
  <si>
    <t>보건수업물품 구입</t>
    <phoneticPr fontId="21" type="noConversion"/>
  </si>
  <si>
    <t>재량 활동</t>
    <phoneticPr fontId="21" type="noConversion"/>
  </si>
  <si>
    <t>동아리 지원비</t>
    <phoneticPr fontId="21" type="noConversion"/>
  </si>
  <si>
    <t>학생자치활동</t>
    <phoneticPr fontId="21" type="noConversion"/>
  </si>
  <si>
    <t>홍보용 국문 브로셔</t>
    <phoneticPr fontId="21" type="noConversion"/>
  </si>
  <si>
    <t>입학요강 인쇄비</t>
    <phoneticPr fontId="21" type="noConversion"/>
  </si>
  <si>
    <t>입학요강 제작비</t>
    <phoneticPr fontId="21" type="noConversion"/>
  </si>
  <si>
    <t>회의실 임대료 및 운영경비</t>
    <phoneticPr fontId="2" type="noConversion"/>
  </si>
  <si>
    <t>학교설명회 운영경비</t>
    <phoneticPr fontId="2" type="noConversion"/>
  </si>
  <si>
    <t>사업추진경비</t>
    <phoneticPr fontId="2" type="noConversion"/>
  </si>
  <si>
    <t>학교설명회 방문자 다과비</t>
    <phoneticPr fontId="21" type="noConversion"/>
  </si>
  <si>
    <t>홍보동영상CD제작비</t>
    <phoneticPr fontId="21" type="noConversion"/>
  </si>
  <si>
    <t>학교 홍보</t>
    <phoneticPr fontId="21" type="noConversion"/>
  </si>
  <si>
    <t>상품구입비</t>
    <phoneticPr fontId="21" type="noConversion"/>
  </si>
  <si>
    <t>특별 활동</t>
    <phoneticPr fontId="21" type="noConversion"/>
  </si>
  <si>
    <t>원어민강사 채용 대행수수료</t>
    <phoneticPr fontId="21" type="noConversion"/>
  </si>
  <si>
    <t>업무대행료</t>
    <phoneticPr fontId="21" type="noConversion"/>
  </si>
  <si>
    <t>항공료</t>
    <phoneticPr fontId="21" type="noConversion"/>
  </si>
  <si>
    <t>원어민강사경비</t>
    <phoneticPr fontId="21" type="noConversion"/>
  </si>
  <si>
    <t>원어민강사 인건비</t>
    <phoneticPr fontId="2" type="noConversion"/>
  </si>
  <si>
    <t>예체능과 운영비</t>
    <phoneticPr fontId="21" type="noConversion"/>
  </si>
  <si>
    <t>교직원협의회경비</t>
    <phoneticPr fontId="21" type="noConversion"/>
  </si>
  <si>
    <t>사회과 운영비</t>
    <phoneticPr fontId="21" type="noConversion"/>
  </si>
  <si>
    <t>수학과 운영비</t>
    <phoneticPr fontId="21" type="noConversion"/>
  </si>
  <si>
    <t>영어과 운영비</t>
    <phoneticPr fontId="21" type="noConversion"/>
  </si>
  <si>
    <t>국어과 운영비</t>
    <phoneticPr fontId="21" type="noConversion"/>
  </si>
  <si>
    <t>CA 수업물품 구입</t>
    <phoneticPr fontId="21" type="noConversion"/>
  </si>
  <si>
    <t>미술 수업료 교구 구입</t>
    <phoneticPr fontId="21" type="noConversion"/>
  </si>
  <si>
    <t>교구,기자재소규모수선비</t>
    <phoneticPr fontId="21" type="noConversion"/>
  </si>
  <si>
    <t>체육 기자재 구입</t>
    <phoneticPr fontId="21" type="noConversion"/>
  </si>
  <si>
    <t>과학 교구 확충</t>
    <phoneticPr fontId="21" type="noConversion"/>
  </si>
  <si>
    <t>교과 활동</t>
    <phoneticPr fontId="21" type="noConversion"/>
  </si>
  <si>
    <t>기본적 교육활동</t>
    <phoneticPr fontId="21" type="noConversion"/>
  </si>
  <si>
    <t>졸업가운 제작 및 보관</t>
    <phoneticPr fontId="21" type="noConversion"/>
  </si>
  <si>
    <t>졸업앨범비</t>
    <phoneticPr fontId="21" type="noConversion"/>
  </si>
  <si>
    <t>기타 학생복리 서비스</t>
    <phoneticPr fontId="21" type="noConversion"/>
  </si>
  <si>
    <t>장학금 및 학자금</t>
    <phoneticPr fontId="21" type="noConversion"/>
  </si>
  <si>
    <t>학생 장학 지원</t>
    <phoneticPr fontId="21" type="noConversion"/>
  </si>
  <si>
    <t>학교안전공제회비</t>
    <phoneticPr fontId="21" type="noConversion"/>
  </si>
  <si>
    <t>실내공기질 검사비</t>
    <phoneticPr fontId="2" type="noConversion"/>
  </si>
  <si>
    <t>학교 위생교육 출장비</t>
    <phoneticPr fontId="21" type="noConversion"/>
  </si>
  <si>
    <t>물탱크 청소비</t>
    <phoneticPr fontId="21" type="noConversion"/>
  </si>
  <si>
    <t>정수기 관리용역비</t>
    <phoneticPr fontId="21" type="noConversion"/>
  </si>
  <si>
    <t>학생건강검사진단비</t>
    <phoneticPr fontId="21" type="noConversion"/>
  </si>
  <si>
    <t>건강검사수수료</t>
    <phoneticPr fontId="21" type="noConversion"/>
  </si>
  <si>
    <t>보건 관리</t>
    <phoneticPr fontId="21" type="noConversion"/>
  </si>
  <si>
    <t>기숙사 3C Campaign 진행경비</t>
    <phoneticPr fontId="21" type="noConversion"/>
  </si>
  <si>
    <t>사업추진업무추진비</t>
    <phoneticPr fontId="21" type="noConversion"/>
  </si>
  <si>
    <t>생활지도교사 연수비</t>
    <phoneticPr fontId="21" type="noConversion"/>
  </si>
  <si>
    <t>생활지도교사 간담회비</t>
    <phoneticPr fontId="21" type="noConversion"/>
  </si>
  <si>
    <t>기관운영업추진비</t>
    <phoneticPr fontId="21" type="noConversion"/>
  </si>
  <si>
    <t>학생 병원 수송 근거리출장비</t>
    <phoneticPr fontId="21" type="noConversion"/>
  </si>
  <si>
    <t>정화조 슬러지 청소비</t>
    <phoneticPr fontId="21" type="noConversion"/>
  </si>
  <si>
    <t>기숙사 소독용역비</t>
    <phoneticPr fontId="21" type="noConversion"/>
  </si>
  <si>
    <t>기숙사 경비 용역비</t>
    <phoneticPr fontId="21" type="noConversion"/>
  </si>
  <si>
    <t>위탁사업비</t>
    <phoneticPr fontId="21" type="noConversion"/>
  </si>
  <si>
    <t>기숙사 시설물 수선비</t>
    <phoneticPr fontId="21" type="noConversion"/>
  </si>
  <si>
    <t>집기비품소규모수선비</t>
    <phoneticPr fontId="21" type="noConversion"/>
  </si>
  <si>
    <t>집기비품 수리비</t>
    <phoneticPr fontId="21" type="noConversion"/>
  </si>
  <si>
    <t>시설장비유지비</t>
    <phoneticPr fontId="21" type="noConversion"/>
  </si>
  <si>
    <t>귀가의 날 버스 임차료</t>
    <phoneticPr fontId="21" type="noConversion"/>
  </si>
  <si>
    <t>통학차량임차료</t>
    <phoneticPr fontId="21" type="noConversion"/>
  </si>
  <si>
    <t>공공요금 및 제세</t>
    <phoneticPr fontId="21" type="noConversion"/>
  </si>
  <si>
    <t>안전검사수수료</t>
    <phoneticPr fontId="21" type="noConversion"/>
  </si>
  <si>
    <t>정수기 수질검사 수수료</t>
    <phoneticPr fontId="21" type="noConversion"/>
  </si>
  <si>
    <t>일반수용비</t>
    <phoneticPr fontId="21" type="noConversion"/>
  </si>
  <si>
    <t>신입생 자료집 제작비</t>
    <phoneticPr fontId="21" type="noConversion"/>
  </si>
  <si>
    <t>신문구독료</t>
    <phoneticPr fontId="21" type="noConversion"/>
  </si>
  <si>
    <t>기숙사 소모품 구입비</t>
    <phoneticPr fontId="21" type="noConversion"/>
  </si>
  <si>
    <t>"</t>
    <phoneticPr fontId="2" type="noConversion"/>
  </si>
  <si>
    <t>생활지도교사 퇴직급여</t>
    <phoneticPr fontId="21" type="noConversion"/>
  </si>
  <si>
    <t>기간제근로자퇴직급여</t>
    <phoneticPr fontId="21" type="noConversion"/>
  </si>
  <si>
    <t>생활지도교사 고용보험료</t>
    <phoneticPr fontId="2" type="noConversion"/>
  </si>
  <si>
    <t>생활지도교사 산재보험료</t>
    <phoneticPr fontId="21" type="noConversion"/>
  </si>
  <si>
    <t>생활지도교사 노인장기요양보험료</t>
    <phoneticPr fontId="21" type="noConversion"/>
  </si>
  <si>
    <t>생활지도교사 건강보험료</t>
    <phoneticPr fontId="21" type="noConversion"/>
  </si>
  <si>
    <t>5% 인상분 반영</t>
    <phoneticPr fontId="2" type="noConversion"/>
  </si>
  <si>
    <t>생활지도교사 국민연금</t>
    <phoneticPr fontId="21" type="noConversion"/>
  </si>
  <si>
    <t>5% 인상</t>
    <phoneticPr fontId="2" type="noConversion"/>
  </si>
  <si>
    <t>생활지도교사 인건비</t>
    <phoneticPr fontId="21" type="noConversion"/>
  </si>
  <si>
    <t>기간제근로자보수</t>
    <phoneticPr fontId="21" type="noConversion"/>
  </si>
  <si>
    <t>기숙사 관리</t>
    <phoneticPr fontId="21" type="noConversion"/>
  </si>
  <si>
    <t>급식사업위탁용역비</t>
    <phoneticPr fontId="21" type="noConversion"/>
  </si>
  <si>
    <t>급식 관리</t>
    <phoneticPr fontId="21" type="noConversion"/>
  </si>
  <si>
    <t>학생복지/교육격차 해소</t>
    <phoneticPr fontId="21" type="noConversion"/>
  </si>
  <si>
    <t>교직원건강검사진단비</t>
    <phoneticPr fontId="21" type="noConversion"/>
  </si>
  <si>
    <t>선택적 복리후생지원</t>
    <phoneticPr fontId="21" type="noConversion"/>
  </si>
  <si>
    <t>맞춤형복지비</t>
    <phoneticPr fontId="21" type="noConversion"/>
  </si>
  <si>
    <t>행정실 운영경비</t>
    <phoneticPr fontId="21" type="noConversion"/>
  </si>
  <si>
    <t>국제부 운영경비</t>
    <phoneticPr fontId="21" type="noConversion"/>
  </si>
  <si>
    <t>인성계발부 운영경비</t>
    <phoneticPr fontId="21" type="noConversion"/>
  </si>
  <si>
    <t>교무학사부 운영경비</t>
    <phoneticPr fontId="21" type="noConversion"/>
  </si>
  <si>
    <t>근거리출장비</t>
    <phoneticPr fontId="21" type="noConversion"/>
  </si>
  <si>
    <t>직원능력개발비</t>
    <phoneticPr fontId="21" type="noConversion"/>
  </si>
  <si>
    <t>직무연수비</t>
    <phoneticPr fontId="21" type="noConversion"/>
  </si>
  <si>
    <t>자격연수 여비</t>
    <phoneticPr fontId="21" type="noConversion"/>
  </si>
  <si>
    <t>비정규직인건비</t>
    <phoneticPr fontId="2" type="noConversion"/>
  </si>
  <si>
    <t>교무지원인건비</t>
    <phoneticPr fontId="21" type="noConversion"/>
  </si>
  <si>
    <t>임시직 인건비</t>
    <phoneticPr fontId="21" type="noConversion"/>
  </si>
  <si>
    <t>기타직퇴직급여</t>
    <phoneticPr fontId="21" type="noConversion"/>
  </si>
  <si>
    <t>기간제 고용보험료</t>
    <phoneticPr fontId="2" type="noConversion"/>
  </si>
  <si>
    <t>기타직고용보험부담금</t>
    <phoneticPr fontId="21" type="noConversion"/>
  </si>
  <si>
    <t>기간제 산재보험료</t>
    <phoneticPr fontId="21" type="noConversion"/>
  </si>
  <si>
    <t>기타직산업재해보험료</t>
    <phoneticPr fontId="21" type="noConversion"/>
  </si>
  <si>
    <t>기간제 노인장기요양보험료</t>
    <phoneticPr fontId="21" type="noConversion"/>
  </si>
  <si>
    <t>기타직건강보험부담금</t>
    <phoneticPr fontId="21" type="noConversion"/>
  </si>
  <si>
    <t>기간제 건강보험료</t>
    <phoneticPr fontId="21" type="noConversion"/>
  </si>
  <si>
    <t>기간제 국민연금</t>
    <phoneticPr fontId="21" type="noConversion"/>
  </si>
  <si>
    <t>기타직국민연금부담금</t>
    <phoneticPr fontId="21" type="noConversion"/>
  </si>
  <si>
    <t>기간제교사 인건비</t>
    <phoneticPr fontId="21" type="noConversion"/>
  </si>
  <si>
    <t>계약직교원인건비</t>
    <phoneticPr fontId="21" type="noConversion"/>
  </si>
  <si>
    <t>직책수당</t>
    <phoneticPr fontId="21" type="noConversion"/>
  </si>
  <si>
    <t>학생지도비</t>
    <phoneticPr fontId="21" type="noConversion"/>
  </si>
  <si>
    <t>직원노인장기요양보험료</t>
    <phoneticPr fontId="21" type="noConversion"/>
  </si>
  <si>
    <t>직원건강보험료</t>
    <phoneticPr fontId="21" type="noConversion"/>
  </si>
  <si>
    <t>직원재해보상금</t>
    <phoneticPr fontId="21" type="noConversion"/>
  </si>
  <si>
    <t>직원사학연금</t>
    <phoneticPr fontId="21" type="noConversion"/>
  </si>
  <si>
    <t>교원노인장기요양보험료</t>
    <phoneticPr fontId="21" type="noConversion"/>
  </si>
  <si>
    <t>교원재해보상금</t>
    <phoneticPr fontId="21" type="noConversion"/>
  </si>
  <si>
    <t xml:space="preserve">인건비 인상분 반영 </t>
    <phoneticPr fontId="2" type="noConversion"/>
  </si>
  <si>
    <t>교원사학연금</t>
    <phoneticPr fontId="21" type="noConversion"/>
  </si>
  <si>
    <t>법정부담금</t>
    <phoneticPr fontId="21" type="noConversion"/>
  </si>
  <si>
    <t>직급보조비</t>
    <phoneticPr fontId="21" type="noConversion"/>
  </si>
  <si>
    <t>연가보상비</t>
    <phoneticPr fontId="21" type="noConversion"/>
  </si>
  <si>
    <t>가계지원비</t>
    <phoneticPr fontId="21" type="noConversion"/>
  </si>
  <si>
    <t>교통보조비</t>
    <phoneticPr fontId="21" type="noConversion"/>
  </si>
  <si>
    <t>관리업무수당</t>
    <phoneticPr fontId="21" type="noConversion"/>
  </si>
  <si>
    <t>초과근무수당 정액분</t>
    <phoneticPr fontId="21" type="noConversion"/>
  </si>
  <si>
    <t>국제화영재교육수당</t>
    <phoneticPr fontId="21" type="noConversion"/>
  </si>
  <si>
    <t>국제전문직위수당</t>
    <phoneticPr fontId="21" type="noConversion"/>
  </si>
  <si>
    <t>민원업무수당</t>
    <phoneticPr fontId="21" type="noConversion"/>
  </si>
  <si>
    <t>안전관리수당</t>
    <phoneticPr fontId="21" type="noConversion"/>
  </si>
  <si>
    <t>자녀학비보조수당</t>
    <phoneticPr fontId="21" type="noConversion"/>
  </si>
  <si>
    <t>가족수당</t>
    <phoneticPr fontId="21" type="noConversion"/>
  </si>
  <si>
    <t>성과상여금</t>
    <phoneticPr fontId="21" type="noConversion"/>
  </si>
  <si>
    <t>정근수당 가산금</t>
    <phoneticPr fontId="21" type="noConversion"/>
  </si>
  <si>
    <t>정근수당</t>
    <phoneticPr fontId="21" type="noConversion"/>
  </si>
  <si>
    <t>봉급</t>
    <phoneticPr fontId="21" type="noConversion"/>
  </si>
  <si>
    <t>인건비 5% 인상
자연승급분  3%</t>
    <phoneticPr fontId="2" type="noConversion"/>
  </si>
  <si>
    <t>보건활동수당</t>
    <phoneticPr fontId="21" type="noConversion"/>
  </si>
  <si>
    <t>교직수당가산금6</t>
    <phoneticPr fontId="21" type="noConversion"/>
  </si>
  <si>
    <t>담임수당</t>
    <phoneticPr fontId="21" type="noConversion"/>
  </si>
  <si>
    <t>교직수당가산금4</t>
    <phoneticPr fontId="21" type="noConversion"/>
  </si>
  <si>
    <t>교직수당가산금2</t>
    <phoneticPr fontId="21" type="noConversion"/>
  </si>
  <si>
    <t>교직수당</t>
    <phoneticPr fontId="21" type="noConversion"/>
  </si>
  <si>
    <t>교원보전수당</t>
    <phoneticPr fontId="21" type="noConversion"/>
  </si>
  <si>
    <t>육아휴직수당</t>
    <phoneticPr fontId="21" type="noConversion"/>
  </si>
  <si>
    <t>인적자원 운영</t>
    <phoneticPr fontId="21" type="noConversion"/>
  </si>
  <si>
    <t>원가통계비목</t>
    <phoneticPr fontId="2" type="noConversion"/>
  </si>
  <si>
    <t>세부</t>
    <phoneticPr fontId="2" type="noConversion"/>
  </si>
  <si>
    <t>정책</t>
    <phoneticPr fontId="2" type="noConversion"/>
  </si>
  <si>
    <t>적요</t>
    <phoneticPr fontId="2" type="noConversion"/>
  </si>
  <si>
    <t>2010학년도 예산</t>
    <phoneticPr fontId="2" type="noConversion"/>
  </si>
  <si>
    <t>2011학년도 예산(안)</t>
    <phoneticPr fontId="2" type="noConversion"/>
  </si>
  <si>
    <t>사업</t>
    <phoneticPr fontId="2" type="noConversion"/>
  </si>
  <si>
    <t>(단위:원)</t>
    <phoneticPr fontId="2" type="noConversion"/>
  </si>
  <si>
    <t xml:space="preserve"> </t>
    <phoneticPr fontId="2" type="noConversion"/>
  </si>
  <si>
    <t>행정직원보수</t>
    <phoneticPr fontId="21" type="noConversion"/>
  </si>
  <si>
    <t>교원 보수</t>
    <phoneticPr fontId="21" type="noConversion"/>
  </si>
  <si>
    <t>학교운영지원비수당</t>
    <phoneticPr fontId="21" type="noConversion"/>
  </si>
  <si>
    <t>교직원대체인건비</t>
    <phoneticPr fontId="21" type="noConversion"/>
  </si>
  <si>
    <t>교직원연수</t>
    <phoneticPr fontId="21" type="noConversion"/>
  </si>
  <si>
    <t>교직원복지</t>
    <phoneticPr fontId="21" type="noConversion"/>
  </si>
  <si>
    <t>맞춤형복지</t>
    <phoneticPr fontId="21" type="noConversion"/>
  </si>
  <si>
    <t>위탁급식운영</t>
    <phoneticPr fontId="21" type="noConversion"/>
  </si>
  <si>
    <t>기숙사운영</t>
    <phoneticPr fontId="21" type="noConversion"/>
  </si>
  <si>
    <t>학생안전관리</t>
    <phoneticPr fontId="21" type="noConversion"/>
  </si>
  <si>
    <t>학생환경위생관리</t>
    <phoneticPr fontId="21" type="noConversion"/>
  </si>
  <si>
    <t>학생건강관리</t>
    <phoneticPr fontId="21" type="noConversion"/>
  </si>
  <si>
    <t>학생장학금지원</t>
    <phoneticPr fontId="21" type="noConversion"/>
  </si>
  <si>
    <t>졸업앨범제작</t>
    <phoneticPr fontId="21" type="noConversion"/>
  </si>
  <si>
    <t>학생교과서구입</t>
    <phoneticPr fontId="21" type="noConversion"/>
  </si>
  <si>
    <t>기타학생복지</t>
    <phoneticPr fontId="21" type="noConversion"/>
  </si>
  <si>
    <t>기본교수학습활동지원</t>
    <phoneticPr fontId="21" type="noConversion"/>
  </si>
  <si>
    <t>과학교과활동</t>
    <phoneticPr fontId="21" type="noConversion"/>
  </si>
  <si>
    <t>체육교과활동</t>
    <phoneticPr fontId="21" type="noConversion"/>
  </si>
  <si>
    <t>예술교과활동</t>
    <phoneticPr fontId="21" type="noConversion"/>
  </si>
  <si>
    <t>기타교과활동</t>
    <phoneticPr fontId="21" type="noConversion"/>
  </si>
  <si>
    <t>외국어교과활동</t>
    <phoneticPr fontId="21" type="noConversion"/>
  </si>
  <si>
    <t>학생행사활동</t>
    <phoneticPr fontId="21" type="noConversion"/>
  </si>
  <si>
    <t>학생생활진로지도</t>
    <phoneticPr fontId="21" type="noConversion"/>
  </si>
  <si>
    <t>교과재량활동</t>
    <phoneticPr fontId="21" type="noConversion"/>
  </si>
  <si>
    <t>현장체험학습</t>
    <phoneticPr fontId="21" type="noConversion"/>
  </si>
  <si>
    <t>학생수련활동</t>
    <phoneticPr fontId="21" type="noConversion"/>
  </si>
  <si>
    <t>방과후학교운영</t>
    <phoneticPr fontId="21" type="noConversion"/>
  </si>
  <si>
    <t>국제교육운영</t>
    <phoneticPr fontId="21" type="noConversion"/>
  </si>
  <si>
    <t>기타 선택적 교육활동</t>
    <phoneticPr fontId="21" type="noConversion"/>
  </si>
  <si>
    <t>기타선택적교육운영</t>
    <phoneticPr fontId="21" type="noConversion"/>
  </si>
  <si>
    <t>교육과정평가</t>
    <phoneticPr fontId="21" type="noConversion"/>
  </si>
  <si>
    <t>도서관운영</t>
    <phoneticPr fontId="21" type="noConversion"/>
  </si>
  <si>
    <t>상담실운영</t>
    <phoneticPr fontId="21" type="noConversion"/>
  </si>
  <si>
    <t>교육환경개선</t>
    <phoneticPr fontId="21" type="noConversion"/>
  </si>
  <si>
    <t>부서기본운영</t>
    <phoneticPr fontId="21" type="noConversion"/>
  </si>
  <si>
    <t>학교시설장비유지</t>
    <phoneticPr fontId="21" type="noConversion"/>
  </si>
  <si>
    <t>일반행정사무관리</t>
    <phoneticPr fontId="21" type="noConversion"/>
  </si>
  <si>
    <t>학교운영위원회운영</t>
    <phoneticPr fontId="21" type="noConversion"/>
  </si>
  <si>
    <t>유관기관협력</t>
    <phoneticPr fontId="21" type="noConversion"/>
  </si>
  <si>
    <t>시설확충및개선</t>
    <phoneticPr fontId="21" type="noConversion"/>
  </si>
  <si>
    <t>교장,교감 보전수당 추가</t>
    <phoneticPr fontId="2" type="noConversion"/>
  </si>
  <si>
    <t>기본급에 통합</t>
    <phoneticPr fontId="2" type="noConversion"/>
  </si>
  <si>
    <t>국민연금</t>
    <phoneticPr fontId="21" type="noConversion"/>
  </si>
  <si>
    <t>건강보험료</t>
    <phoneticPr fontId="21" type="noConversion"/>
  </si>
  <si>
    <t>노인장기요양보험료</t>
    <phoneticPr fontId="21" type="noConversion"/>
  </si>
  <si>
    <t>산재보험료</t>
    <phoneticPr fontId="21" type="noConversion"/>
  </si>
  <si>
    <t>고용보험료</t>
    <phoneticPr fontId="21" type="noConversion"/>
  </si>
  <si>
    <t>퇴직급여</t>
    <phoneticPr fontId="21" type="noConversion"/>
  </si>
  <si>
    <t>공무원연금부담금</t>
    <phoneticPr fontId="21" type="noConversion"/>
  </si>
  <si>
    <t>공무원재해보상부담금</t>
    <phoneticPr fontId="21" type="noConversion"/>
  </si>
  <si>
    <t>공무원건강보험부담금</t>
    <phoneticPr fontId="21" type="noConversion"/>
  </si>
  <si>
    <t>노인장기요양보험부담금</t>
    <phoneticPr fontId="21" type="noConversion"/>
  </si>
  <si>
    <t>보수</t>
    <phoneticPr fontId="21" type="noConversion"/>
  </si>
  <si>
    <t>공무원법정부담금</t>
    <phoneticPr fontId="21" type="noConversion"/>
  </si>
  <si>
    <t>기타직보수</t>
    <phoneticPr fontId="21" type="noConversion"/>
  </si>
  <si>
    <t>기타직법정부담금</t>
    <phoneticPr fontId="21" type="noConversion"/>
  </si>
  <si>
    <t>기타직노인장기요양보험부담금</t>
    <phoneticPr fontId="21" type="noConversion"/>
  </si>
  <si>
    <t>기간제노인장기요양보험부담금</t>
    <phoneticPr fontId="21" type="noConversion"/>
  </si>
  <si>
    <t>교원연구비에 통합</t>
    <phoneticPr fontId="2" type="noConversion"/>
  </si>
  <si>
    <t>교직원복리후생비</t>
    <phoneticPr fontId="21" type="noConversion"/>
  </si>
  <si>
    <t>교원학술연구지원비</t>
    <phoneticPr fontId="21" type="noConversion"/>
  </si>
  <si>
    <t>교직원 연수 운영경비</t>
    <phoneticPr fontId="21" type="noConversion"/>
  </si>
  <si>
    <t>교원 자격연수 지원금</t>
    <phoneticPr fontId="2" type="noConversion"/>
  </si>
  <si>
    <t>기관운영업무추진비</t>
    <phoneticPr fontId="21" type="noConversion"/>
  </si>
  <si>
    <t>기타복리후생비</t>
    <phoneticPr fontId="21" type="noConversion"/>
  </si>
  <si>
    <t>학교청소용역비</t>
    <phoneticPr fontId="2" type="noConversion"/>
  </si>
  <si>
    <t>건물외벽청소비</t>
    <phoneticPr fontId="2" type="noConversion"/>
  </si>
  <si>
    <t>기숙사 시설 안전검사비</t>
    <phoneticPr fontId="21" type="noConversion"/>
  </si>
  <si>
    <t>침구구입비</t>
    <phoneticPr fontId="2" type="noConversion"/>
  </si>
  <si>
    <t>기숙사 침구류 구입비</t>
    <phoneticPr fontId="2" type="noConversion"/>
  </si>
  <si>
    <t>교복 및 침구류 린넨서비스 용역비</t>
    <phoneticPr fontId="21" type="noConversion"/>
  </si>
  <si>
    <t>임차료</t>
    <phoneticPr fontId="21" type="noConversion"/>
  </si>
  <si>
    <t>시설장비위탁용역비</t>
    <phoneticPr fontId="21" type="noConversion"/>
  </si>
  <si>
    <t>유무인경비위탁용역비</t>
    <phoneticPr fontId="21" type="noConversion"/>
  </si>
  <si>
    <t>학교안전공제회비</t>
    <phoneticPr fontId="2" type="noConversion"/>
  </si>
  <si>
    <t>보험료부담금</t>
    <phoneticPr fontId="21" type="noConversion"/>
  </si>
  <si>
    <t>보건실 약품구입비</t>
    <phoneticPr fontId="21" type="noConversion"/>
  </si>
  <si>
    <t>외부 지원금 3,000,000원</t>
    <phoneticPr fontId="2" type="noConversion"/>
  </si>
  <si>
    <t>보상금</t>
    <phoneticPr fontId="21" type="noConversion"/>
  </si>
  <si>
    <t>교내외 장학금</t>
    <phoneticPr fontId="21" type="noConversion"/>
  </si>
  <si>
    <t>교육운영비</t>
    <phoneticPr fontId="21" type="noConversion"/>
  </si>
  <si>
    <t>피복구입비</t>
    <phoneticPr fontId="21" type="noConversion"/>
  </si>
  <si>
    <t>교구 소모품 구입비</t>
    <phoneticPr fontId="21" type="noConversion"/>
  </si>
  <si>
    <t>학생용 교과서 구입비</t>
    <phoneticPr fontId="21" type="noConversion"/>
  </si>
  <si>
    <t>취득비</t>
    <phoneticPr fontId="21" type="noConversion"/>
  </si>
  <si>
    <t>기기취득비</t>
    <phoneticPr fontId="21" type="noConversion"/>
  </si>
  <si>
    <t>교육용소모품비</t>
    <phoneticPr fontId="21" type="noConversion"/>
  </si>
  <si>
    <t>교구·기자재소규모수선비</t>
  </si>
  <si>
    <t>법정부담금 포함</t>
    <phoneticPr fontId="2" type="noConversion"/>
  </si>
  <si>
    <t>계약직교원인건비</t>
    <phoneticPr fontId="2" type="noConversion"/>
  </si>
  <si>
    <t>행사용품비</t>
    <phoneticPr fontId="21" type="noConversion"/>
  </si>
  <si>
    <t>입학식 및 졸업식 행사용품비</t>
    <phoneticPr fontId="21" type="noConversion"/>
  </si>
  <si>
    <t>입학식 및 졸업식 상품구입비</t>
    <phoneticPr fontId="21" type="noConversion"/>
  </si>
  <si>
    <t>학생자치활동비</t>
    <phoneticPr fontId="21" type="noConversion"/>
  </si>
  <si>
    <t>축제행사 위탁 용역비</t>
    <phoneticPr fontId="21" type="noConversion"/>
  </si>
  <si>
    <t>축제 행사용품비</t>
    <phoneticPr fontId="21" type="noConversion"/>
  </si>
  <si>
    <t>학생회 지원비</t>
    <phoneticPr fontId="21" type="noConversion"/>
  </si>
  <si>
    <t>교외대회 참가 지원비</t>
    <phoneticPr fontId="21" type="noConversion"/>
  </si>
  <si>
    <t>학생 적성검사비</t>
    <phoneticPr fontId="21" type="noConversion"/>
  </si>
  <si>
    <t>운영수당</t>
    <phoneticPr fontId="21" type="noConversion"/>
  </si>
  <si>
    <t>성교육 및 특별초청 강사료</t>
    <phoneticPr fontId="21" type="noConversion"/>
  </si>
  <si>
    <t>답사비용 포함</t>
    <phoneticPr fontId="2" type="noConversion"/>
  </si>
  <si>
    <t>교육활동차량임차료</t>
    <phoneticPr fontId="21" type="noConversion"/>
  </si>
  <si>
    <t>2학년 현장체험학습 차량 임차료</t>
    <phoneticPr fontId="2" type="noConversion"/>
  </si>
  <si>
    <t>1학년 수학여행 인솔교사 여비 외</t>
    <phoneticPr fontId="21" type="noConversion"/>
  </si>
  <si>
    <t>교육용 소모품 구입비</t>
    <phoneticPr fontId="21" type="noConversion"/>
  </si>
  <si>
    <t>HAFS 체험프로그램 운영경비</t>
    <phoneticPr fontId="2" type="noConversion"/>
  </si>
  <si>
    <t>교육운영경비</t>
    <phoneticPr fontId="21" type="noConversion"/>
  </si>
  <si>
    <t>국내대학방문 출장비</t>
    <phoneticPr fontId="2" type="noConversion"/>
  </si>
  <si>
    <t>국외여비</t>
    <phoneticPr fontId="21" type="noConversion"/>
  </si>
  <si>
    <t>국내 대학 진학협의회비</t>
    <phoneticPr fontId="2" type="noConversion"/>
  </si>
  <si>
    <t>특근매식비</t>
    <phoneticPr fontId="21" type="noConversion"/>
  </si>
  <si>
    <t>수업용 소모품 구입비</t>
    <phoneticPr fontId="21" type="noConversion"/>
  </si>
  <si>
    <t>교육과정 외 자료집 제작비</t>
    <phoneticPr fontId="21" type="noConversion"/>
  </si>
  <si>
    <t>시간표작성 프로그램</t>
    <phoneticPr fontId="21" type="noConversion"/>
  </si>
  <si>
    <t>교육자료집 제작</t>
    <phoneticPr fontId="21" type="noConversion"/>
  </si>
  <si>
    <t>대학진학용 인쇄물 제작</t>
    <phoneticPr fontId="21" type="noConversion"/>
  </si>
  <si>
    <t>신입생 입시 운영경비</t>
    <phoneticPr fontId="21" type="noConversion"/>
  </si>
  <si>
    <t>전.편입 고사 운영경비</t>
    <phoneticPr fontId="21" type="noConversion"/>
  </si>
  <si>
    <t>시험지 인쇄용 소모품 구입</t>
    <phoneticPr fontId="21" type="noConversion"/>
  </si>
  <si>
    <t>업무추진비</t>
    <phoneticPr fontId="21" type="noConversion"/>
  </si>
  <si>
    <t>포상금 등</t>
    <phoneticPr fontId="21" type="noConversion"/>
  </si>
  <si>
    <t>상담실 운영 경비</t>
    <phoneticPr fontId="21" type="noConversion"/>
  </si>
  <si>
    <t>집기비품 구입비</t>
    <phoneticPr fontId="2" type="noConversion"/>
  </si>
  <si>
    <t>직책급업무추진비</t>
    <phoneticPr fontId="21" type="noConversion"/>
  </si>
  <si>
    <t>교무실 외 물품 구입비</t>
    <phoneticPr fontId="21" type="noConversion"/>
  </si>
  <si>
    <t>공공요금및제세</t>
    <phoneticPr fontId="21" type="noConversion"/>
  </si>
  <si>
    <t>간부교사 간담회비 외</t>
    <phoneticPr fontId="21" type="noConversion"/>
  </si>
  <si>
    <t>기타제세</t>
    <phoneticPr fontId="2" type="noConversion"/>
  </si>
  <si>
    <t>시설용 소모품 구입비</t>
    <phoneticPr fontId="21" type="noConversion"/>
  </si>
  <si>
    <t>집기취득비</t>
    <phoneticPr fontId="21" type="noConversion"/>
  </si>
  <si>
    <t>사무용 집기 취득비</t>
    <phoneticPr fontId="21" type="noConversion"/>
  </si>
  <si>
    <t>차량선박비</t>
    <phoneticPr fontId="21" type="noConversion"/>
  </si>
  <si>
    <t>기관운영업추진비</t>
    <phoneticPr fontId="21" type="noConversion"/>
  </si>
  <si>
    <t>기관운영업무추진비</t>
    <phoneticPr fontId="2" type="noConversion"/>
  </si>
  <si>
    <t>유관기관 업무추진비</t>
    <phoneticPr fontId="2" type="noConversion"/>
  </si>
  <si>
    <t>공무원포상금및상금</t>
    <phoneticPr fontId="2" type="noConversion"/>
  </si>
  <si>
    <t>지역사회기관 협력</t>
    <phoneticPr fontId="2" type="noConversion"/>
  </si>
  <si>
    <t>교원 성과 포상금</t>
    <phoneticPr fontId="2" type="noConversion"/>
  </si>
  <si>
    <t>입학사정관 인건비(전년도 교육청 지원금)</t>
    <phoneticPr fontId="2" type="noConversion"/>
  </si>
  <si>
    <t>기타제세</t>
    <phoneticPr fontId="2" type="noConversion"/>
  </si>
  <si>
    <t>성교육 2회, 특별초청 4회</t>
    <phoneticPr fontId="2" type="noConversion"/>
  </si>
  <si>
    <t>교직원 능력개발비, 교육청 지원금</t>
    <phoneticPr fontId="2" type="noConversion"/>
  </si>
  <si>
    <t>교육청 지원금 3,000,000원</t>
    <phoneticPr fontId="2" type="noConversion"/>
  </si>
  <si>
    <t>외부장학금 25,000,000원</t>
    <phoneticPr fontId="2" type="noConversion"/>
  </si>
  <si>
    <t>삼성열린장학금 25,380,000원</t>
    <phoneticPr fontId="2" type="noConversion"/>
  </si>
  <si>
    <t>2학년 현장체험학습비</t>
    <phoneticPr fontId="2" type="noConversion"/>
  </si>
  <si>
    <t>2학년 현장체험학습 차량임차료</t>
    <phoneticPr fontId="2" type="noConversion"/>
  </si>
  <si>
    <t>수련회비 및 차량임차료</t>
    <phoneticPr fontId="2" type="noConversion"/>
  </si>
  <si>
    <t>375,000원*4회</t>
    <phoneticPr fontId="2" type="noConversion"/>
  </si>
  <si>
    <t>2,800,000원*10월</t>
    <phoneticPr fontId="2" type="noConversion"/>
  </si>
  <si>
    <t>학생 장학금 외</t>
    <phoneticPr fontId="2" type="noConversion"/>
  </si>
  <si>
    <t>인건비 5% 인상
자연승급분  3%</t>
    <phoneticPr fontId="2" type="noConversion"/>
  </si>
</sst>
</file>

<file path=xl/styles.xml><?xml version="1.0" encoding="utf-8"?>
<styleSheet xmlns="http://schemas.openxmlformats.org/spreadsheetml/2006/main">
  <numFmts count="10">
    <numFmt numFmtId="42" formatCode="_-&quot;₩&quot;* #,##0_-;\-&quot;₩&quot;* #,##0_-;_-&quot;₩&quot;* &quot;-&quot;_-;_-@_-"/>
    <numFmt numFmtId="41" formatCode="_-* #,##0_-;\-* #,##0_-;_-* &quot;-&quot;_-;_-@_-"/>
    <numFmt numFmtId="176" formatCode="#,##0_);[Red]\(#,##0\)"/>
    <numFmt numFmtId="177" formatCode="&quot;·&quot;@"/>
    <numFmt numFmtId="178" formatCode="#,##0&quot;¹&quot;;[Red]&quot;△&quot;#,##0&quot;¹&quot;;&quot;－ &quot;"/>
    <numFmt numFmtId="179" formatCode="#,##0&quot;²&quot;;[Red]&quot;△&quot;#,##0&quot;²&quot;;&quot;－ &quot;"/>
    <numFmt numFmtId="180" formatCode="#,##0&quot;³&quot;;[Red]&quot;△&quot;#,##0&quot;³&quot;;&quot;－ &quot;"/>
    <numFmt numFmtId="181" formatCode="#,##0;[Red]&quot;△&quot;#,##0;&quot;－&quot;"/>
    <numFmt numFmtId="182" formatCode="_ * #,##0_ ;_ * \-#,##0_ ;_ * &quot;-&quot;_ ;_ @_ "/>
    <numFmt numFmtId="183" formatCode="_ * #,##0.00_ ;_ * \-#,##0.00_ ;_ * &quot;-&quot;??_ ;_ @_ "/>
  </numFmts>
  <fonts count="40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Helv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8"/>
      <name val="맑은 고딕"/>
      <family val="3"/>
      <charset val="129"/>
    </font>
    <font>
      <sz val="12"/>
      <name val="바탕체"/>
      <family val="1"/>
      <charset val="129"/>
    </font>
    <font>
      <b/>
      <i/>
      <sz val="14"/>
      <color indexed="14"/>
      <name val="바탕체"/>
      <family val="1"/>
      <charset val="129"/>
    </font>
    <font>
      <b/>
      <i/>
      <sz val="12"/>
      <color indexed="14"/>
      <name val="바탕체"/>
      <family val="1"/>
      <charset val="129"/>
    </font>
    <font>
      <b/>
      <sz val="12"/>
      <color indexed="14"/>
      <name val="바탕체"/>
      <family val="1"/>
      <charset val="129"/>
    </font>
    <font>
      <b/>
      <u/>
      <sz val="18"/>
      <color indexed="33"/>
      <name val="바탕체"/>
      <family val="1"/>
      <charset val="129"/>
    </font>
    <font>
      <b/>
      <sz val="14"/>
      <color indexed="14"/>
      <name val="바탕체"/>
      <family val="1"/>
      <charset val="129"/>
    </font>
    <font>
      <b/>
      <sz val="12"/>
      <name val="바탕체"/>
      <family val="1"/>
      <charset val="129"/>
    </font>
    <font>
      <b/>
      <sz val="12"/>
      <name val="돋움체"/>
      <family val="3"/>
      <charset val="129"/>
    </font>
    <font>
      <b/>
      <sz val="14"/>
      <name val="바탕체"/>
      <family val="1"/>
      <charset val="129"/>
    </font>
    <font>
      <b/>
      <sz val="12"/>
      <name val="Arial"/>
      <family val="2"/>
    </font>
    <font>
      <sz val="9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65">
    <xf numFmtId="0" fontId="0" fillId="0" borderId="0">
      <alignment vertical="center"/>
    </xf>
    <xf numFmtId="177" fontId="22" fillId="0" borderId="0">
      <alignment horizontal="left" vertical="top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" fillId="21" borderId="2" applyNumberFormat="0" applyFont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3" fillId="0" borderId="0"/>
    <xf numFmtId="49" fontId="24" fillId="0" borderId="0">
      <alignment horizontal="left" vertical="top" wrapText="1"/>
    </xf>
    <xf numFmtId="49" fontId="22" fillId="0" borderId="0">
      <alignment vertical="top" wrapText="1"/>
    </xf>
    <xf numFmtId="0" fontId="10" fillId="0" borderId="0" applyNumberFormat="0" applyFill="0" applyBorder="0" applyAlignment="0" applyProtection="0">
      <alignment vertical="center"/>
    </xf>
    <xf numFmtId="0" fontId="11" fillId="23" borderId="3" applyNumberFormat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7" borderId="1" applyNumberFormat="0" applyAlignment="0" applyProtection="0">
      <alignment vertical="center"/>
    </xf>
    <xf numFmtId="38" fontId="25" fillId="0" borderId="0"/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9" fontId="26" fillId="0" borderId="0">
      <alignment horizontal="centerContinuous" vertical="center"/>
    </xf>
    <xf numFmtId="49" fontId="27" fillId="0" borderId="0">
      <alignment horizontal="left" vertical="center"/>
    </xf>
    <xf numFmtId="0" fontId="19" fillId="4" borderId="0" applyNumberFormat="0" applyBorder="0" applyAlignment="0" applyProtection="0">
      <alignment vertical="center"/>
    </xf>
    <xf numFmtId="178" fontId="22" fillId="0" borderId="9">
      <alignment vertical="center"/>
    </xf>
    <xf numFmtId="179" fontId="22" fillId="24" borderId="0">
      <alignment vertical="center"/>
    </xf>
    <xf numFmtId="180" fontId="22" fillId="24" borderId="0">
      <alignment vertical="center"/>
    </xf>
    <xf numFmtId="181" fontId="28" fillId="0" borderId="10" applyNumberFormat="0">
      <alignment horizontal="center" vertical="center"/>
    </xf>
    <xf numFmtId="0" fontId="20" fillId="20" borderId="11" applyNumberFormat="0" applyAlignment="0" applyProtection="0">
      <alignment vertical="center"/>
    </xf>
    <xf numFmtId="182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42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29" fillId="25" borderId="0" applyNumberFormat="0">
      <alignment horizontal="center" vertical="center"/>
    </xf>
    <xf numFmtId="49" fontId="30" fillId="25" borderId="0">
      <alignment horizontal="center" vertical="center"/>
    </xf>
    <xf numFmtId="0" fontId="31" fillId="0" borderId="12" applyNumberFormat="0" applyAlignment="0" applyProtection="0">
      <alignment horizontal="left" vertical="center"/>
    </xf>
    <xf numFmtId="0" fontId="31" fillId="0" borderId="13">
      <alignment horizontal="left" vertical="center"/>
    </xf>
  </cellStyleXfs>
  <cellXfs count="196">
    <xf numFmtId="0" fontId="0" fillId="0" borderId="0" xfId="0">
      <alignment vertical="center"/>
    </xf>
    <xf numFmtId="41" fontId="32" fillId="0" borderId="14" xfId="59" applyNumberFormat="1" applyFont="1" applyBorder="1" applyAlignment="1">
      <alignment vertical="center" shrinkToFit="1"/>
    </xf>
    <xf numFmtId="0" fontId="33" fillId="0" borderId="0" xfId="60" applyFont="1" applyAlignment="1">
      <alignment horizontal="left" vertical="center" shrinkToFit="1"/>
    </xf>
    <xf numFmtId="0" fontId="33" fillId="0" borderId="0" xfId="60" applyFont="1" applyAlignment="1">
      <alignment vertical="center" shrinkToFit="1"/>
    </xf>
    <xf numFmtId="176" fontId="33" fillId="0" borderId="0" xfId="37" applyNumberFormat="1" applyFont="1" applyAlignment="1">
      <alignment vertical="center" shrinkToFit="1"/>
    </xf>
    <xf numFmtId="176" fontId="33" fillId="0" borderId="0" xfId="37" applyNumberFormat="1" applyFont="1" applyAlignment="1">
      <alignment horizontal="right" vertical="center" shrinkToFit="1"/>
    </xf>
    <xf numFmtId="0" fontId="33" fillId="0" borderId="0" xfId="60" applyFont="1" applyAlignment="1">
      <alignment horizontal="center" vertical="center" shrinkToFit="1"/>
    </xf>
    <xf numFmtId="0" fontId="33" fillId="0" borderId="0" xfId="0" applyFont="1" applyAlignment="1">
      <alignment vertical="center" shrinkToFit="1"/>
    </xf>
    <xf numFmtId="0" fontId="34" fillId="0" borderId="0" xfId="0" applyFont="1" applyAlignment="1">
      <alignment vertical="center"/>
    </xf>
    <xf numFmtId="0" fontId="34" fillId="0" borderId="0" xfId="0" applyFont="1" applyAlignment="1">
      <alignment horizontal="center" vertical="center" shrinkToFit="1"/>
    </xf>
    <xf numFmtId="0" fontId="34" fillId="0" borderId="0" xfId="0" applyFont="1" applyAlignment="1">
      <alignment horizontal="left" vertical="center" shrinkToFit="1"/>
    </xf>
    <xf numFmtId="0" fontId="34" fillId="0" borderId="0" xfId="0" applyFont="1" applyAlignment="1">
      <alignment vertical="center" shrinkToFit="1"/>
    </xf>
    <xf numFmtId="0" fontId="33" fillId="26" borderId="15" xfId="60" applyFont="1" applyFill="1" applyBorder="1" applyAlignment="1">
      <alignment horizontal="center" vertical="center" shrinkToFit="1"/>
    </xf>
    <xf numFmtId="0" fontId="35" fillId="28" borderId="16" xfId="0" applyFont="1" applyFill="1" applyBorder="1" applyAlignment="1">
      <alignment vertical="center" shrinkToFit="1"/>
    </xf>
    <xf numFmtId="41" fontId="35" fillId="28" borderId="16" xfId="37" applyFont="1" applyFill="1" applyBorder="1" applyAlignment="1">
      <alignment vertical="center" shrinkToFit="1"/>
    </xf>
    <xf numFmtId="0" fontId="35" fillId="0" borderId="17" xfId="0" applyFont="1" applyFill="1" applyBorder="1" applyAlignment="1">
      <alignment vertical="center" shrinkToFit="1"/>
    </xf>
    <xf numFmtId="0" fontId="35" fillId="29" borderId="18" xfId="0" applyFont="1" applyFill="1" applyBorder="1" applyAlignment="1">
      <alignment vertical="center" shrinkToFit="1"/>
    </xf>
    <xf numFmtId="41" fontId="35" fillId="29" borderId="18" xfId="37" applyFont="1" applyFill="1" applyBorder="1" applyAlignment="1">
      <alignment vertical="center" shrinkToFit="1"/>
    </xf>
    <xf numFmtId="41" fontId="35" fillId="29" borderId="18" xfId="37" applyFont="1" applyFill="1" applyBorder="1" applyAlignment="1">
      <alignment horizontal="center" vertical="center" shrinkToFit="1"/>
    </xf>
    <xf numFmtId="0" fontId="35" fillId="0" borderId="19" xfId="0" applyFont="1" applyFill="1" applyBorder="1" applyAlignment="1">
      <alignment vertical="center" shrinkToFit="1"/>
    </xf>
    <xf numFmtId="0" fontId="35" fillId="0" borderId="20" xfId="0" applyFont="1" applyFill="1" applyBorder="1" applyAlignment="1">
      <alignment vertical="center" shrinkToFit="1"/>
    </xf>
    <xf numFmtId="0" fontId="35" fillId="30" borderId="21" xfId="0" applyFont="1" applyFill="1" applyBorder="1" applyAlignment="1">
      <alignment vertical="center" shrinkToFit="1"/>
    </xf>
    <xf numFmtId="41" fontId="35" fillId="30" borderId="18" xfId="37" applyFont="1" applyFill="1" applyBorder="1" applyAlignment="1">
      <alignment vertical="center" shrinkToFit="1"/>
    </xf>
    <xf numFmtId="41" fontId="35" fillId="30" borderId="22" xfId="37" applyFont="1" applyFill="1" applyBorder="1" applyAlignment="1">
      <alignment horizontal="center" vertical="center" shrinkToFit="1"/>
    </xf>
    <xf numFmtId="0" fontId="35" fillId="0" borderId="23" xfId="0" applyFont="1" applyFill="1" applyBorder="1" applyAlignment="1">
      <alignment vertical="center" shrinkToFit="1"/>
    </xf>
    <xf numFmtId="0" fontId="35" fillId="0" borderId="24" xfId="0" applyFont="1" applyFill="1" applyBorder="1" applyAlignment="1">
      <alignment vertical="center" shrinkToFit="1"/>
    </xf>
    <xf numFmtId="0" fontId="35" fillId="0" borderId="18" xfId="0" applyFont="1" applyFill="1" applyBorder="1" applyAlignment="1">
      <alignment vertical="center" shrinkToFit="1"/>
    </xf>
    <xf numFmtId="41" fontId="35" fillId="0" borderId="18" xfId="37" applyFont="1" applyFill="1" applyBorder="1" applyAlignment="1">
      <alignment vertical="center" shrinkToFit="1"/>
    </xf>
    <xf numFmtId="41" fontId="35" fillId="0" borderId="18" xfId="37" applyFont="1" applyFill="1" applyBorder="1" applyAlignment="1">
      <alignment horizontal="center" vertical="center" shrinkToFit="1"/>
    </xf>
    <xf numFmtId="41" fontId="35" fillId="0" borderId="22" xfId="37" applyFont="1" applyFill="1" applyBorder="1" applyAlignment="1">
      <alignment horizontal="center" vertical="center" shrinkToFit="1"/>
    </xf>
    <xf numFmtId="0" fontId="33" fillId="0" borderId="0" xfId="0" applyFont="1" applyFill="1" applyAlignment="1">
      <alignment vertical="center" shrinkToFit="1"/>
    </xf>
    <xf numFmtId="0" fontId="35" fillId="0" borderId="25" xfId="0" applyFont="1" applyFill="1" applyBorder="1" applyAlignment="1">
      <alignment vertical="center" shrinkToFit="1"/>
    </xf>
    <xf numFmtId="0" fontId="35" fillId="0" borderId="0" xfId="0" applyFont="1" applyFill="1" applyBorder="1" applyAlignment="1">
      <alignment vertical="center" shrinkToFit="1"/>
    </xf>
    <xf numFmtId="0" fontId="35" fillId="0" borderId="26" xfId="0" applyFont="1" applyFill="1" applyBorder="1" applyAlignment="1">
      <alignment vertical="center" shrinkToFit="1"/>
    </xf>
    <xf numFmtId="41" fontId="33" fillId="0" borderId="18" xfId="37" applyFont="1" applyBorder="1" applyAlignment="1">
      <alignment vertical="center" shrinkToFit="1"/>
    </xf>
    <xf numFmtId="0" fontId="35" fillId="0" borderId="27" xfId="0" applyFont="1" applyFill="1" applyBorder="1" applyAlignment="1">
      <alignment vertical="center" shrinkToFit="1"/>
    </xf>
    <xf numFmtId="0" fontId="33" fillId="0" borderId="18" xfId="0" applyFont="1" applyBorder="1" applyAlignment="1">
      <alignment vertical="center" shrinkToFit="1"/>
    </xf>
    <xf numFmtId="0" fontId="33" fillId="0" borderId="19" xfId="0" applyFont="1" applyBorder="1" applyAlignment="1">
      <alignment vertical="center" shrinkToFit="1"/>
    </xf>
    <xf numFmtId="0" fontId="33" fillId="0" borderId="23" xfId="0" applyFont="1" applyBorder="1" applyAlignment="1">
      <alignment vertical="center" shrinkToFit="1"/>
    </xf>
    <xf numFmtId="0" fontId="33" fillId="0" borderId="25" xfId="0" applyFont="1" applyBorder="1" applyAlignment="1">
      <alignment vertical="center" shrinkToFit="1"/>
    </xf>
    <xf numFmtId="0" fontId="33" fillId="0" borderId="0" xfId="0" applyFont="1" applyBorder="1" applyAlignment="1">
      <alignment vertical="center" shrinkToFit="1"/>
    </xf>
    <xf numFmtId="0" fontId="35" fillId="0" borderId="0" xfId="0" applyFont="1" applyFill="1" applyBorder="1" applyAlignment="1">
      <alignment horizontal="left" vertical="center" shrinkToFit="1"/>
    </xf>
    <xf numFmtId="0" fontId="35" fillId="0" borderId="16" xfId="0" applyFont="1" applyFill="1" applyBorder="1" applyAlignment="1">
      <alignment vertical="center" shrinkToFit="1"/>
    </xf>
    <xf numFmtId="0" fontId="35" fillId="30" borderId="18" xfId="0" applyFont="1" applyFill="1" applyBorder="1" applyAlignment="1">
      <alignment vertical="center" shrinkToFit="1"/>
    </xf>
    <xf numFmtId="41" fontId="35" fillId="30" borderId="18" xfId="0" applyNumberFormat="1" applyFont="1" applyFill="1" applyBorder="1" applyAlignment="1">
      <alignment vertical="center" shrinkToFit="1"/>
    </xf>
    <xf numFmtId="41" fontId="35" fillId="0" borderId="18" xfId="0" applyNumberFormat="1" applyFont="1" applyFill="1" applyBorder="1" applyAlignment="1">
      <alignment vertical="center" shrinkToFit="1"/>
    </xf>
    <xf numFmtId="41" fontId="35" fillId="0" borderId="16" xfId="37" applyFont="1" applyFill="1" applyBorder="1" applyAlignment="1">
      <alignment vertical="center" shrinkToFit="1"/>
    </xf>
    <xf numFmtId="41" fontId="35" fillId="0" borderId="24" xfId="37" applyFont="1" applyFill="1" applyBorder="1" applyAlignment="1">
      <alignment vertical="center" shrinkToFit="1"/>
    </xf>
    <xf numFmtId="0" fontId="33" fillId="0" borderId="18" xfId="0" applyFont="1" applyFill="1" applyBorder="1" applyAlignment="1">
      <alignment vertical="center" shrinkToFit="1"/>
    </xf>
    <xf numFmtId="41" fontId="33" fillId="0" borderId="18" xfId="37" applyFont="1" applyFill="1" applyBorder="1" applyAlignment="1">
      <alignment vertical="center" shrinkToFit="1"/>
    </xf>
    <xf numFmtId="41" fontId="35" fillId="0" borderId="16" xfId="0" applyNumberFormat="1" applyFont="1" applyFill="1" applyBorder="1" applyAlignment="1">
      <alignment vertical="center" shrinkToFit="1"/>
    </xf>
    <xf numFmtId="0" fontId="35" fillId="0" borderId="20" xfId="0" applyFont="1" applyFill="1" applyBorder="1" applyAlignment="1">
      <alignment horizontal="left" vertical="center" shrinkToFit="1"/>
    </xf>
    <xf numFmtId="0" fontId="33" fillId="0" borderId="22" xfId="0" applyFont="1" applyBorder="1" applyAlignment="1">
      <alignment horizontal="center" vertical="center" shrinkToFit="1"/>
    </xf>
    <xf numFmtId="41" fontId="35" fillId="29" borderId="18" xfId="0" applyNumberFormat="1" applyFont="1" applyFill="1" applyBorder="1" applyAlignment="1">
      <alignment vertical="center" shrinkToFit="1"/>
    </xf>
    <xf numFmtId="41" fontId="33" fillId="0" borderId="18" xfId="0" applyNumberFormat="1" applyFont="1" applyFill="1" applyBorder="1" applyAlignment="1">
      <alignment vertical="center" shrinkToFit="1"/>
    </xf>
    <xf numFmtId="41" fontId="33" fillId="0" borderId="27" xfId="37" applyFont="1" applyBorder="1" applyAlignment="1">
      <alignment vertical="center" shrinkToFit="1"/>
    </xf>
    <xf numFmtId="0" fontId="35" fillId="28" borderId="18" xfId="0" applyFont="1" applyFill="1" applyBorder="1" applyAlignment="1">
      <alignment vertical="center" shrinkToFit="1"/>
    </xf>
    <xf numFmtId="41" fontId="35" fillId="28" borderId="18" xfId="37" applyFont="1" applyFill="1" applyBorder="1" applyAlignment="1">
      <alignment vertical="center" shrinkToFit="1"/>
    </xf>
    <xf numFmtId="41" fontId="35" fillId="28" borderId="18" xfId="37" applyFont="1" applyFill="1" applyBorder="1" applyAlignment="1">
      <alignment horizontal="center" vertical="center" shrinkToFit="1"/>
    </xf>
    <xf numFmtId="0" fontId="35" fillId="0" borderId="28" xfId="0" applyFont="1" applyFill="1" applyBorder="1" applyAlignment="1">
      <alignment vertical="center" shrinkToFit="1"/>
    </xf>
    <xf numFmtId="0" fontId="33" fillId="0" borderId="23" xfId="0" applyFont="1" applyFill="1" applyBorder="1" applyAlignment="1">
      <alignment vertical="center" shrinkToFit="1"/>
    </xf>
    <xf numFmtId="0" fontId="33" fillId="0" borderId="16" xfId="0" applyFont="1" applyFill="1" applyBorder="1" applyAlignment="1">
      <alignment vertical="center" shrinkToFit="1"/>
    </xf>
    <xf numFmtId="0" fontId="35" fillId="30" borderId="16" xfId="0" applyFont="1" applyFill="1" applyBorder="1" applyAlignment="1">
      <alignment vertical="center" shrinkToFit="1"/>
    </xf>
    <xf numFmtId="41" fontId="35" fillId="30" borderId="16" xfId="0" applyNumberFormat="1" applyFont="1" applyFill="1" applyBorder="1" applyAlignment="1">
      <alignment vertical="center" shrinkToFit="1"/>
    </xf>
    <xf numFmtId="0" fontId="35" fillId="29" borderId="16" xfId="0" applyFont="1" applyFill="1" applyBorder="1" applyAlignment="1">
      <alignment vertical="center" shrinkToFit="1"/>
    </xf>
    <xf numFmtId="0" fontId="33" fillId="0" borderId="0" xfId="0" applyFont="1" applyFill="1">
      <alignment vertical="center"/>
    </xf>
    <xf numFmtId="0" fontId="36" fillId="0" borderId="17" xfId="0" applyFont="1" applyFill="1" applyBorder="1" applyAlignment="1">
      <alignment vertical="center" shrinkToFit="1"/>
    </xf>
    <xf numFmtId="0" fontId="36" fillId="0" borderId="0" xfId="0" applyFont="1" applyFill="1" applyBorder="1" applyAlignment="1">
      <alignment vertical="center" shrinkToFit="1"/>
    </xf>
    <xf numFmtId="0" fontId="36" fillId="0" borderId="23" xfId="0" applyFont="1" applyFill="1" applyBorder="1" applyAlignment="1">
      <alignment vertical="center" shrinkToFit="1"/>
    </xf>
    <xf numFmtId="0" fontId="33" fillId="0" borderId="22" xfId="0" applyFont="1" applyFill="1" applyBorder="1" applyAlignment="1">
      <alignment horizontal="center" vertical="center" shrinkToFit="1"/>
    </xf>
    <xf numFmtId="0" fontId="35" fillId="0" borderId="29" xfId="0" applyFont="1" applyFill="1" applyBorder="1" applyAlignment="1">
      <alignment vertical="center" shrinkToFit="1"/>
    </xf>
    <xf numFmtId="0" fontId="35" fillId="0" borderId="18" xfId="0" applyFont="1" applyFill="1" applyBorder="1" applyAlignment="1">
      <alignment horizontal="left" vertical="center" shrinkToFit="1"/>
    </xf>
    <xf numFmtId="0" fontId="35" fillId="0" borderId="31" xfId="0" applyFont="1" applyFill="1" applyBorder="1" applyAlignment="1">
      <alignment vertical="center" shrinkToFit="1"/>
    </xf>
    <xf numFmtId="0" fontId="35" fillId="0" borderId="32" xfId="0" applyFont="1" applyFill="1" applyBorder="1" applyAlignment="1">
      <alignment vertical="center" shrinkToFit="1"/>
    </xf>
    <xf numFmtId="0" fontId="35" fillId="0" borderId="33" xfId="0" applyFont="1" applyFill="1" applyBorder="1" applyAlignment="1">
      <alignment vertical="center" shrinkToFit="1"/>
    </xf>
    <xf numFmtId="41" fontId="35" fillId="0" borderId="33" xfId="37" applyFont="1" applyFill="1" applyBorder="1" applyAlignment="1">
      <alignment vertical="center" shrinkToFit="1"/>
    </xf>
    <xf numFmtId="41" fontId="35" fillId="0" borderId="33" xfId="37" applyFont="1" applyFill="1" applyBorder="1" applyAlignment="1">
      <alignment horizontal="center" vertical="center" shrinkToFit="1"/>
    </xf>
    <xf numFmtId="0" fontId="34" fillId="26" borderId="34" xfId="60" applyFont="1" applyFill="1" applyBorder="1" applyAlignment="1">
      <alignment vertical="center" shrinkToFit="1"/>
    </xf>
    <xf numFmtId="176" fontId="34" fillId="26" borderId="34" xfId="37" applyNumberFormat="1" applyFont="1" applyFill="1" applyBorder="1" applyAlignment="1">
      <alignment vertical="center" shrinkToFit="1"/>
    </xf>
    <xf numFmtId="0" fontId="34" fillId="26" borderId="35" xfId="60" applyFont="1" applyFill="1" applyBorder="1" applyAlignment="1">
      <alignment horizontal="center" vertical="center" shrinkToFit="1"/>
    </xf>
    <xf numFmtId="0" fontId="33" fillId="0" borderId="0" xfId="0" applyFont="1" applyAlignment="1">
      <alignment horizontal="center" vertical="center" shrinkToFit="1"/>
    </xf>
    <xf numFmtId="0" fontId="35" fillId="0" borderId="10" xfId="0" applyFont="1" applyFill="1" applyBorder="1" applyAlignment="1">
      <alignment vertical="center" shrinkToFit="1"/>
    </xf>
    <xf numFmtId="41" fontId="33" fillId="0" borderId="0" xfId="37" applyFont="1" applyFill="1" applyAlignment="1">
      <alignment vertical="center" shrinkToFit="1"/>
    </xf>
    <xf numFmtId="41" fontId="33" fillId="0" borderId="16" xfId="37" applyFont="1" applyBorder="1" applyAlignment="1">
      <alignment vertical="center" shrinkToFit="1"/>
    </xf>
    <xf numFmtId="41" fontId="33" fillId="0" borderId="0" xfId="0" applyNumberFormat="1" applyFont="1" applyFill="1" applyAlignment="1">
      <alignment vertical="center" shrinkToFit="1"/>
    </xf>
    <xf numFmtId="0" fontId="35" fillId="0" borderId="24" xfId="0" applyFont="1" applyFill="1" applyBorder="1" applyAlignment="1">
      <alignment horizontal="left" vertical="center" shrinkToFit="1"/>
    </xf>
    <xf numFmtId="41" fontId="35" fillId="0" borderId="25" xfId="0" applyNumberFormat="1" applyFont="1" applyFill="1" applyBorder="1" applyAlignment="1">
      <alignment vertical="center" shrinkToFit="1"/>
    </xf>
    <xf numFmtId="41" fontId="35" fillId="0" borderId="25" xfId="37" applyFont="1" applyFill="1" applyBorder="1" applyAlignment="1">
      <alignment vertical="center" shrinkToFit="1"/>
    </xf>
    <xf numFmtId="0" fontId="35" fillId="0" borderId="36" xfId="0" applyFont="1" applyFill="1" applyBorder="1" applyAlignment="1">
      <alignment vertical="center" shrinkToFit="1"/>
    </xf>
    <xf numFmtId="0" fontId="35" fillId="0" borderId="34" xfId="0" applyFont="1" applyFill="1" applyBorder="1" applyAlignment="1">
      <alignment vertical="center" shrinkToFit="1"/>
    </xf>
    <xf numFmtId="41" fontId="33" fillId="0" borderId="33" xfId="37" applyFont="1" applyBorder="1" applyAlignment="1">
      <alignment vertical="center" shrinkToFit="1"/>
    </xf>
    <xf numFmtId="41" fontId="33" fillId="0" borderId="0" xfId="37" applyFont="1" applyAlignment="1">
      <alignment vertical="center" shrinkToFit="1"/>
    </xf>
    <xf numFmtId="41" fontId="33" fillId="0" borderId="0" xfId="37" applyFont="1" applyAlignment="1">
      <alignment horizontal="right" vertical="center" shrinkToFit="1"/>
    </xf>
    <xf numFmtId="41" fontId="34" fillId="0" borderId="0" xfId="37" applyFont="1" applyAlignment="1">
      <alignment horizontal="left" vertical="center" shrinkToFit="1"/>
    </xf>
    <xf numFmtId="41" fontId="34" fillId="26" borderId="34" xfId="37" applyFont="1" applyFill="1" applyBorder="1" applyAlignment="1">
      <alignment vertical="center" shrinkToFit="1"/>
    </xf>
    <xf numFmtId="0" fontId="33" fillId="0" borderId="0" xfId="60" applyFont="1" applyFill="1" applyAlignment="1">
      <alignment horizontal="center" vertical="center" shrinkToFit="1"/>
    </xf>
    <xf numFmtId="0" fontId="34" fillId="0" borderId="0" xfId="0" applyFont="1" applyFill="1" applyAlignment="1">
      <alignment horizontal="center" vertical="center" shrinkToFit="1"/>
    </xf>
    <xf numFmtId="0" fontId="33" fillId="0" borderId="0" xfId="0" applyFont="1" applyFill="1" applyAlignment="1">
      <alignment horizontal="center" vertical="center" shrinkToFit="1"/>
    </xf>
    <xf numFmtId="41" fontId="33" fillId="0" borderId="31" xfId="37" applyFont="1" applyBorder="1" applyAlignment="1">
      <alignment horizontal="right" vertical="center" shrinkToFit="1"/>
    </xf>
    <xf numFmtId="41" fontId="37" fillId="0" borderId="0" xfId="59" applyNumberFormat="1" applyFont="1" applyAlignment="1">
      <alignment vertical="center" shrinkToFit="1"/>
    </xf>
    <xf numFmtId="41" fontId="32" fillId="0" borderId="0" xfId="59" applyNumberFormat="1" applyFont="1" applyAlignment="1">
      <alignment horizontal="right" vertical="center" shrinkToFit="1"/>
    </xf>
    <xf numFmtId="41" fontId="37" fillId="0" borderId="0" xfId="59" applyNumberFormat="1" applyFont="1" applyAlignment="1">
      <alignment horizontal="center" vertical="center" shrinkToFit="1"/>
    </xf>
    <xf numFmtId="41" fontId="38" fillId="27" borderId="37" xfId="59" applyNumberFormat="1" applyFont="1" applyFill="1" applyBorder="1" applyAlignment="1">
      <alignment horizontal="center" vertical="center" shrinkToFit="1"/>
    </xf>
    <xf numFmtId="41" fontId="38" fillId="27" borderId="38" xfId="59" applyNumberFormat="1" applyFont="1" applyFill="1" applyBorder="1" applyAlignment="1">
      <alignment horizontal="center" vertical="center" shrinkToFit="1"/>
    </xf>
    <xf numFmtId="41" fontId="38" fillId="27" borderId="39" xfId="59" applyNumberFormat="1" applyFont="1" applyFill="1" applyBorder="1" applyAlignment="1">
      <alignment horizontal="center" vertical="center" shrinkToFit="1"/>
    </xf>
    <xf numFmtId="41" fontId="33" fillId="0" borderId="40" xfId="59" applyNumberFormat="1" applyFont="1" applyBorder="1" applyAlignment="1">
      <alignment vertical="center" shrinkToFit="1"/>
    </xf>
    <xf numFmtId="41" fontId="32" fillId="0" borderId="40" xfId="59" applyNumberFormat="1" applyFont="1" applyBorder="1" applyAlignment="1">
      <alignment vertical="center" shrinkToFit="1"/>
    </xf>
    <xf numFmtId="41" fontId="32" fillId="0" borderId="41" xfId="59" applyNumberFormat="1" applyFont="1" applyBorder="1" applyAlignment="1">
      <alignment vertical="center" shrinkToFit="1"/>
    </xf>
    <xf numFmtId="41" fontId="33" fillId="0" borderId="42" xfId="59" applyNumberFormat="1" applyFont="1" applyBorder="1" applyAlignment="1">
      <alignment vertical="center" shrinkToFit="1"/>
    </xf>
    <xf numFmtId="41" fontId="32" fillId="0" borderId="42" xfId="59" applyNumberFormat="1" applyFont="1" applyBorder="1" applyAlignment="1">
      <alignment vertical="center" shrinkToFit="1"/>
    </xf>
    <xf numFmtId="41" fontId="33" fillId="0" borderId="43" xfId="59" applyNumberFormat="1" applyFont="1" applyBorder="1" applyAlignment="1">
      <alignment vertical="center" shrinkToFit="1"/>
    </xf>
    <xf numFmtId="41" fontId="33" fillId="0" borderId="44" xfId="59" applyNumberFormat="1" applyFont="1" applyBorder="1" applyAlignment="1">
      <alignment vertical="center" shrinkToFit="1"/>
    </xf>
    <xf numFmtId="41" fontId="33" fillId="0" borderId="45" xfId="59" applyNumberFormat="1" applyFont="1" applyBorder="1" applyAlignment="1">
      <alignment vertical="center" shrinkToFit="1"/>
    </xf>
    <xf numFmtId="41" fontId="38" fillId="27" borderId="46" xfId="59" applyNumberFormat="1" applyFont="1" applyFill="1" applyBorder="1" applyAlignment="1">
      <alignment horizontal="center" vertical="center" shrinkToFit="1"/>
    </xf>
    <xf numFmtId="41" fontId="34" fillId="27" borderId="47" xfId="59" applyNumberFormat="1" applyFont="1" applyFill="1" applyBorder="1" applyAlignment="1">
      <alignment vertical="center" shrinkToFit="1"/>
    </xf>
    <xf numFmtId="41" fontId="38" fillId="27" borderId="47" xfId="59" applyNumberFormat="1" applyFont="1" applyFill="1" applyBorder="1" applyAlignment="1">
      <alignment horizontal="center" vertical="center" shrinkToFit="1"/>
    </xf>
    <xf numFmtId="0" fontId="37" fillId="0" borderId="0" xfId="0" applyFont="1">
      <alignment vertical="center"/>
    </xf>
    <xf numFmtId="0" fontId="35" fillId="28" borderId="48" xfId="0" applyFont="1" applyFill="1" applyBorder="1" applyAlignment="1">
      <alignment horizontal="center" vertical="center" shrinkToFit="1"/>
    </xf>
    <xf numFmtId="0" fontId="35" fillId="29" borderId="22" xfId="0" applyFont="1" applyFill="1" applyBorder="1" applyAlignment="1">
      <alignment horizontal="center" vertical="center" shrinkToFit="1"/>
    </xf>
    <xf numFmtId="0" fontId="35" fillId="30" borderId="22" xfId="0" applyFont="1" applyFill="1" applyBorder="1" applyAlignment="1">
      <alignment horizontal="center" vertical="center" shrinkToFit="1"/>
    </xf>
    <xf numFmtId="0" fontId="35" fillId="0" borderId="22" xfId="0" applyFont="1" applyFill="1" applyBorder="1" applyAlignment="1">
      <alignment horizontal="center" vertical="center" shrinkToFit="1"/>
    </xf>
    <xf numFmtId="41" fontId="33" fillId="0" borderId="22" xfId="37" applyFont="1" applyBorder="1" applyAlignment="1">
      <alignment horizontal="center" vertical="center" shrinkToFit="1"/>
    </xf>
    <xf numFmtId="0" fontId="35" fillId="0" borderId="48" xfId="0" applyFont="1" applyFill="1" applyBorder="1" applyAlignment="1">
      <alignment horizontal="center" vertical="center" shrinkToFit="1"/>
    </xf>
    <xf numFmtId="0" fontId="35" fillId="0" borderId="49" xfId="0" applyFont="1" applyFill="1" applyBorder="1" applyAlignment="1">
      <alignment horizontal="center" vertical="center" shrinkToFit="1"/>
    </xf>
    <xf numFmtId="0" fontId="35" fillId="28" borderId="22" xfId="0" applyFont="1" applyFill="1" applyBorder="1" applyAlignment="1">
      <alignment horizontal="center" vertical="center" shrinkToFit="1"/>
    </xf>
    <xf numFmtId="0" fontId="35" fillId="30" borderId="48" xfId="0" applyFont="1" applyFill="1" applyBorder="1" applyAlignment="1">
      <alignment horizontal="center" vertical="center" shrinkToFit="1"/>
    </xf>
    <xf numFmtId="0" fontId="35" fillId="29" borderId="48" xfId="0" applyFont="1" applyFill="1" applyBorder="1" applyAlignment="1">
      <alignment horizontal="center" vertical="center" shrinkToFit="1"/>
    </xf>
    <xf numFmtId="0" fontId="35" fillId="0" borderId="50" xfId="0" applyFont="1" applyFill="1" applyBorder="1" applyAlignment="1">
      <alignment horizontal="center" vertical="center" shrinkToFit="1"/>
    </xf>
    <xf numFmtId="41" fontId="33" fillId="0" borderId="22" xfId="37" applyFont="1" applyFill="1" applyBorder="1" applyAlignment="1">
      <alignment horizontal="center" vertical="center" shrinkToFit="1"/>
    </xf>
    <xf numFmtId="0" fontId="35" fillId="0" borderId="51" xfId="0" applyFont="1" applyFill="1" applyBorder="1" applyAlignment="1">
      <alignment horizontal="center" vertical="center" shrinkToFit="1"/>
    </xf>
    <xf numFmtId="41" fontId="33" fillId="0" borderId="50" xfId="37" applyFont="1" applyBorder="1" applyAlignment="1">
      <alignment horizontal="center" vertical="center" shrinkToFit="1"/>
    </xf>
    <xf numFmtId="0" fontId="33" fillId="26" borderId="33" xfId="60" applyFont="1" applyFill="1" applyBorder="1" applyAlignment="1">
      <alignment horizontal="center" vertical="center" shrinkToFit="1"/>
    </xf>
    <xf numFmtId="0" fontId="35" fillId="0" borderId="23" xfId="0" applyFont="1" applyFill="1" applyBorder="1" applyAlignment="1">
      <alignment horizontal="left" vertical="center" shrinkToFit="1"/>
    </xf>
    <xf numFmtId="10" fontId="33" fillId="0" borderId="52" xfId="30" applyNumberFormat="1" applyFont="1" applyBorder="1" applyAlignment="1">
      <alignment vertical="center" shrinkToFit="1"/>
    </xf>
    <xf numFmtId="10" fontId="34" fillId="27" borderId="53" xfId="30" applyNumberFormat="1" applyFont="1" applyFill="1" applyBorder="1" applyAlignment="1">
      <alignment vertical="center" shrinkToFit="1"/>
    </xf>
    <xf numFmtId="10" fontId="33" fillId="0" borderId="40" xfId="30" applyNumberFormat="1" applyFont="1" applyBorder="1" applyAlignment="1">
      <alignment horizontal="right" vertical="center" shrinkToFit="1"/>
    </xf>
    <xf numFmtId="10" fontId="33" fillId="0" borderId="42" xfId="30" applyNumberFormat="1" applyFont="1" applyBorder="1" applyAlignment="1">
      <alignment vertical="center" shrinkToFit="1"/>
    </xf>
    <xf numFmtId="10" fontId="33" fillId="0" borderId="42" xfId="59" applyNumberFormat="1" applyFont="1" applyBorder="1" applyAlignment="1">
      <alignment vertical="center" shrinkToFit="1"/>
    </xf>
    <xf numFmtId="10" fontId="34" fillId="27" borderId="47" xfId="30" applyNumberFormat="1" applyFont="1" applyFill="1" applyBorder="1" applyAlignment="1">
      <alignment vertical="center" shrinkToFit="1"/>
    </xf>
    <xf numFmtId="0" fontId="33" fillId="26" borderId="33" xfId="60" applyFont="1" applyFill="1" applyBorder="1" applyAlignment="1">
      <alignment horizontal="center" vertical="center" shrinkToFit="1"/>
    </xf>
    <xf numFmtId="0" fontId="35" fillId="0" borderId="29" xfId="0" applyFont="1" applyFill="1" applyBorder="1" applyAlignment="1">
      <alignment horizontal="left" vertical="center" shrinkToFit="1"/>
    </xf>
    <xf numFmtId="0" fontId="35" fillId="0" borderId="23" xfId="0" applyFont="1" applyFill="1" applyBorder="1" applyAlignment="1">
      <alignment horizontal="left" vertical="center" shrinkToFit="1"/>
    </xf>
    <xf numFmtId="0" fontId="35" fillId="0" borderId="26" xfId="0" applyFont="1" applyFill="1" applyBorder="1" applyAlignment="1">
      <alignment horizontal="left" vertical="center" shrinkToFit="1"/>
    </xf>
    <xf numFmtId="41" fontId="35" fillId="28" borderId="18" xfId="0" applyNumberFormat="1" applyFont="1" applyFill="1" applyBorder="1" applyAlignment="1">
      <alignment vertical="center" shrinkToFit="1"/>
    </xf>
    <xf numFmtId="41" fontId="39" fillId="0" borderId="22" xfId="37" applyFont="1" applyBorder="1" applyAlignment="1">
      <alignment horizontal="center" vertical="center" wrapText="1" shrinkToFit="1"/>
    </xf>
    <xf numFmtId="0" fontId="35" fillId="0" borderId="21" xfId="0" applyFont="1" applyFill="1" applyBorder="1" applyAlignment="1">
      <alignment vertical="center" shrinkToFit="1"/>
    </xf>
    <xf numFmtId="0" fontId="33" fillId="0" borderId="48" xfId="0" applyFont="1" applyBorder="1" applyAlignment="1">
      <alignment horizontal="center" vertical="center" shrinkToFit="1"/>
    </xf>
    <xf numFmtId="0" fontId="21" fillId="0" borderId="18" xfId="38" applyFont="1" applyFill="1" applyBorder="1" applyAlignment="1">
      <alignment horizontal="left" vertical="center" shrinkToFit="1"/>
    </xf>
    <xf numFmtId="41" fontId="35" fillId="0" borderId="21" xfId="37" applyFont="1" applyFill="1" applyBorder="1" applyAlignment="1">
      <alignment vertical="center" shrinkToFit="1"/>
    </xf>
    <xf numFmtId="41" fontId="33" fillId="0" borderId="18" xfId="37" applyFont="1" applyFill="1" applyBorder="1" applyAlignment="1">
      <alignment horizontal="center" vertical="center" shrinkToFit="1"/>
    </xf>
    <xf numFmtId="41" fontId="33" fillId="0" borderId="25" xfId="37" applyFont="1" applyBorder="1" applyAlignment="1">
      <alignment vertical="center" shrinkToFit="1"/>
    </xf>
    <xf numFmtId="41" fontId="33" fillId="0" borderId="0" xfId="0" applyNumberFormat="1" applyFont="1" applyAlignment="1">
      <alignment vertical="center" shrinkToFit="1"/>
    </xf>
    <xf numFmtId="41" fontId="38" fillId="27" borderId="54" xfId="59" applyNumberFormat="1" applyFont="1" applyFill="1" applyBorder="1" applyAlignment="1">
      <alignment horizontal="center" vertical="center" shrinkToFit="1"/>
    </xf>
    <xf numFmtId="41" fontId="38" fillId="27" borderId="55" xfId="59" applyNumberFormat="1" applyFont="1" applyFill="1" applyBorder="1" applyAlignment="1">
      <alignment horizontal="center" vertical="center" shrinkToFit="1"/>
    </xf>
    <xf numFmtId="41" fontId="38" fillId="27" borderId="56" xfId="59" applyNumberFormat="1" applyFont="1" applyFill="1" applyBorder="1" applyAlignment="1">
      <alignment horizontal="center" vertical="center" shrinkToFit="1"/>
    </xf>
    <xf numFmtId="41" fontId="38" fillId="27" borderId="57" xfId="59" applyNumberFormat="1" applyFont="1" applyFill="1" applyBorder="1" applyAlignment="1">
      <alignment horizontal="center" vertical="center" shrinkToFit="1"/>
    </xf>
    <xf numFmtId="41" fontId="38" fillId="27" borderId="58" xfId="59" applyNumberFormat="1" applyFont="1" applyFill="1" applyBorder="1" applyAlignment="1">
      <alignment horizontal="center" vertical="center" shrinkToFit="1"/>
    </xf>
    <xf numFmtId="0" fontId="33" fillId="31" borderId="65" xfId="0" applyFont="1" applyFill="1" applyBorder="1" applyAlignment="1">
      <alignment horizontal="center" vertical="center"/>
    </xf>
    <xf numFmtId="0" fontId="33" fillId="31" borderId="34" xfId="0" applyFont="1" applyFill="1" applyBorder="1" applyAlignment="1">
      <alignment horizontal="center" vertical="center"/>
    </xf>
    <xf numFmtId="0" fontId="33" fillId="26" borderId="61" xfId="60" applyFont="1" applyFill="1" applyBorder="1" applyAlignment="1">
      <alignment horizontal="center" vertical="center" shrinkToFit="1"/>
    </xf>
    <xf numFmtId="0" fontId="33" fillId="26" borderId="50" xfId="60" applyFont="1" applyFill="1" applyBorder="1" applyAlignment="1">
      <alignment horizontal="center" vertical="center" shrinkToFit="1"/>
    </xf>
    <xf numFmtId="0" fontId="35" fillId="30" borderId="27" xfId="0" applyFont="1" applyFill="1" applyBorder="1" applyAlignment="1">
      <alignment horizontal="left" vertical="center" shrinkToFit="1"/>
    </xf>
    <xf numFmtId="0" fontId="35" fillId="30" borderId="10" xfId="0" applyFont="1" applyFill="1" applyBorder="1" applyAlignment="1">
      <alignment horizontal="left" vertical="center" shrinkToFit="1"/>
    </xf>
    <xf numFmtId="0" fontId="33" fillId="31" borderId="62" xfId="0" applyNumberFormat="1" applyFont="1" applyFill="1" applyBorder="1" applyAlignment="1">
      <alignment horizontal="center" vertical="center" shrinkToFit="1"/>
    </xf>
    <xf numFmtId="0" fontId="33" fillId="31" borderId="63" xfId="0" applyNumberFormat="1" applyFont="1" applyFill="1" applyBorder="1" applyAlignment="1">
      <alignment horizontal="center" vertical="center" shrinkToFit="1"/>
    </xf>
    <xf numFmtId="0" fontId="33" fillId="26" borderId="63" xfId="60" applyFont="1" applyFill="1" applyBorder="1" applyAlignment="1">
      <alignment horizontal="center" vertical="center" shrinkToFit="1"/>
    </xf>
    <xf numFmtId="0" fontId="33" fillId="26" borderId="33" xfId="60" applyFont="1" applyFill="1" applyBorder="1" applyAlignment="1">
      <alignment horizontal="center" vertical="center" shrinkToFit="1"/>
    </xf>
    <xf numFmtId="176" fontId="33" fillId="26" borderId="63" xfId="37" applyNumberFormat="1" applyFont="1" applyFill="1" applyBorder="1" applyAlignment="1">
      <alignment horizontal="center" vertical="center" shrinkToFit="1"/>
    </xf>
    <xf numFmtId="176" fontId="33" fillId="26" borderId="33" xfId="37" applyNumberFormat="1" applyFont="1" applyFill="1" applyBorder="1" applyAlignment="1">
      <alignment horizontal="center" vertical="center" shrinkToFit="1"/>
    </xf>
    <xf numFmtId="0" fontId="35" fillId="28" borderId="30" xfId="0" applyFont="1" applyFill="1" applyBorder="1" applyAlignment="1">
      <alignment horizontal="left" vertical="center" shrinkToFit="1"/>
    </xf>
    <xf numFmtId="0" fontId="35" fillId="28" borderId="29" xfId="0" applyFont="1" applyFill="1" applyBorder="1" applyAlignment="1">
      <alignment horizontal="left" vertical="center" shrinkToFit="1"/>
    </xf>
    <xf numFmtId="0" fontId="35" fillId="28" borderId="60" xfId="0" applyFont="1" applyFill="1" applyBorder="1" applyAlignment="1">
      <alignment horizontal="left" vertical="center" shrinkToFit="1"/>
    </xf>
    <xf numFmtId="0" fontId="35" fillId="29" borderId="26" xfId="0" applyFont="1" applyFill="1" applyBorder="1" applyAlignment="1">
      <alignment horizontal="left" vertical="center" shrinkToFit="1"/>
    </xf>
    <xf numFmtId="0" fontId="35" fillId="29" borderId="29" xfId="0" applyFont="1" applyFill="1" applyBorder="1" applyAlignment="1">
      <alignment horizontal="left" vertical="center" shrinkToFit="1"/>
    </xf>
    <xf numFmtId="0" fontId="35" fillId="29" borderId="60" xfId="0" applyFont="1" applyFill="1" applyBorder="1" applyAlignment="1">
      <alignment horizontal="left" vertical="center" shrinkToFit="1"/>
    </xf>
    <xf numFmtId="0" fontId="35" fillId="0" borderId="10" xfId="0" applyFont="1" applyFill="1" applyBorder="1" applyAlignment="1">
      <alignment horizontal="left" vertical="center" shrinkToFit="1"/>
    </xf>
    <xf numFmtId="0" fontId="35" fillId="29" borderId="27" xfId="0" applyFont="1" applyFill="1" applyBorder="1" applyAlignment="1">
      <alignment horizontal="left" vertical="center" shrinkToFit="1"/>
    </xf>
    <xf numFmtId="0" fontId="35" fillId="29" borderId="10" xfId="0" applyFont="1" applyFill="1" applyBorder="1" applyAlignment="1">
      <alignment horizontal="left" vertical="center" shrinkToFit="1"/>
    </xf>
    <xf numFmtId="0" fontId="35" fillId="29" borderId="21" xfId="0" applyFont="1" applyFill="1" applyBorder="1" applyAlignment="1">
      <alignment horizontal="left" vertical="center" shrinkToFit="1"/>
    </xf>
    <xf numFmtId="0" fontId="35" fillId="0" borderId="27" xfId="0" applyFont="1" applyFill="1" applyBorder="1" applyAlignment="1">
      <alignment horizontal="left" vertical="center" shrinkToFit="1"/>
    </xf>
    <xf numFmtId="0" fontId="35" fillId="0" borderId="21" xfId="0" applyFont="1" applyFill="1" applyBorder="1" applyAlignment="1">
      <alignment horizontal="left" vertical="center" shrinkToFit="1"/>
    </xf>
    <xf numFmtId="0" fontId="35" fillId="0" borderId="26" xfId="0" applyFont="1" applyFill="1" applyBorder="1" applyAlignment="1">
      <alignment horizontal="left" vertical="center" shrinkToFit="1"/>
    </xf>
    <xf numFmtId="0" fontId="35" fillId="0" borderId="29" xfId="0" applyFont="1" applyFill="1" applyBorder="1" applyAlignment="1">
      <alignment horizontal="left" vertical="center" shrinkToFit="1"/>
    </xf>
    <xf numFmtId="0" fontId="35" fillId="30" borderId="21" xfId="0" applyFont="1" applyFill="1" applyBorder="1" applyAlignment="1">
      <alignment horizontal="left" vertical="center" shrinkToFit="1"/>
    </xf>
    <xf numFmtId="0" fontId="34" fillId="26" borderId="36" xfId="60" applyFont="1" applyFill="1" applyBorder="1" applyAlignment="1">
      <alignment horizontal="center" vertical="center" shrinkToFit="1"/>
    </xf>
    <xf numFmtId="0" fontId="34" fillId="26" borderId="31" xfId="60" applyFont="1" applyFill="1" applyBorder="1" applyAlignment="1">
      <alignment horizontal="center" vertical="center" shrinkToFit="1"/>
    </xf>
    <xf numFmtId="0" fontId="34" fillId="26" borderId="59" xfId="60" applyFont="1" applyFill="1" applyBorder="1" applyAlignment="1">
      <alignment horizontal="center" vertical="center" shrinkToFit="1"/>
    </xf>
    <xf numFmtId="0" fontId="35" fillId="28" borderId="64" xfId="0" applyFont="1" applyFill="1" applyBorder="1" applyAlignment="1">
      <alignment horizontal="left" vertical="center" shrinkToFit="1"/>
    </xf>
    <xf numFmtId="0" fontId="35" fillId="28" borderId="10" xfId="0" applyFont="1" applyFill="1" applyBorder="1" applyAlignment="1">
      <alignment horizontal="left" vertical="center" shrinkToFit="1"/>
    </xf>
    <xf numFmtId="0" fontId="35" fillId="28" borderId="21" xfId="0" applyFont="1" applyFill="1" applyBorder="1" applyAlignment="1">
      <alignment horizontal="left" vertical="center" shrinkToFit="1"/>
    </xf>
    <xf numFmtId="0" fontId="35" fillId="30" borderId="26" xfId="0" applyFont="1" applyFill="1" applyBorder="1" applyAlignment="1">
      <alignment horizontal="left" vertical="center" shrinkToFit="1"/>
    </xf>
    <xf numFmtId="0" fontId="35" fillId="30" borderId="29" xfId="0" applyFont="1" applyFill="1" applyBorder="1" applyAlignment="1">
      <alignment horizontal="left" vertical="center" shrinkToFit="1"/>
    </xf>
    <xf numFmtId="0" fontId="35" fillId="30" borderId="60" xfId="0" applyFont="1" applyFill="1" applyBorder="1" applyAlignment="1">
      <alignment horizontal="left" vertical="center" shrinkToFit="1"/>
    </xf>
    <xf numFmtId="0" fontId="35" fillId="30" borderId="18" xfId="0" applyFont="1" applyFill="1" applyBorder="1" applyAlignment="1">
      <alignment horizontal="left" vertical="center" shrinkToFit="1"/>
    </xf>
    <xf numFmtId="0" fontId="33" fillId="31" borderId="62" xfId="0" applyFont="1" applyFill="1" applyBorder="1" applyAlignment="1">
      <alignment horizontal="center" vertical="center" shrinkToFit="1"/>
    </xf>
    <xf numFmtId="0" fontId="33" fillId="31" borderId="63" xfId="0" applyFont="1" applyFill="1" applyBorder="1" applyAlignment="1">
      <alignment horizontal="center" vertical="center" shrinkToFit="1"/>
    </xf>
  </cellXfs>
  <cellStyles count="65">
    <cellStyle name="·표준" xfId="1"/>
    <cellStyle name="20% - 강조색1" xfId="2" builtinId="30" customBuiltin="1"/>
    <cellStyle name="20% - 강조색2" xfId="3" builtinId="34" customBuiltin="1"/>
    <cellStyle name="20% - 강조색3" xfId="4" builtinId="38" customBuiltin="1"/>
    <cellStyle name="20% - 강조색4" xfId="5" builtinId="42" customBuiltin="1"/>
    <cellStyle name="20% - 강조색5" xfId="6" builtinId="46" customBuiltin="1"/>
    <cellStyle name="20% - 강조색6" xfId="7" builtinId="50" customBuiltin="1"/>
    <cellStyle name="40% - 강조색1" xfId="8" builtinId="31" customBuiltin="1"/>
    <cellStyle name="40% - 강조색2" xfId="9" builtinId="35" customBuiltin="1"/>
    <cellStyle name="40% - 강조색3" xfId="10" builtinId="39" customBuiltin="1"/>
    <cellStyle name="40% - 강조색4" xfId="11" builtinId="43" customBuiltin="1"/>
    <cellStyle name="40% - 강조색5" xfId="12" builtinId="47" customBuiltin="1"/>
    <cellStyle name="40% - 강조색6" xfId="13" builtinId="51" customBuiltin="1"/>
    <cellStyle name="60% - 강조색1" xfId="14" builtinId="32" customBuiltin="1"/>
    <cellStyle name="60% - 강조색2" xfId="15" builtinId="36" customBuiltin="1"/>
    <cellStyle name="60% - 강조색3" xfId="16" builtinId="40" customBuiltin="1"/>
    <cellStyle name="60% - 강조색4" xfId="17" builtinId="44" customBuiltin="1"/>
    <cellStyle name="60% - 강조색5" xfId="18" builtinId="48" customBuiltin="1"/>
    <cellStyle name="60% - 강조색6" xfId="19" builtinId="52" customBuiltin="1"/>
    <cellStyle name="강조색1" xfId="20" builtinId="29" customBuiltin="1"/>
    <cellStyle name="강조색2" xfId="21" builtinId="33" customBuiltin="1"/>
    <cellStyle name="강조색3" xfId="22" builtinId="37" customBuiltin="1"/>
    <cellStyle name="강조색4" xfId="23" builtinId="41" customBuiltin="1"/>
    <cellStyle name="강조색5" xfId="24" builtinId="45" customBuiltin="1"/>
    <cellStyle name="강조색6" xfId="25" builtinId="49" customBuiltin="1"/>
    <cellStyle name="경고문" xfId="26" builtinId="11" customBuiltin="1"/>
    <cellStyle name="계산" xfId="27" builtinId="22" customBuiltin="1"/>
    <cellStyle name="나쁨" xfId="28" builtinId="27" customBuiltin="1"/>
    <cellStyle name="메모" xfId="29" builtinId="10" customBuiltin="1"/>
    <cellStyle name="백분율" xfId="30" builtinId="5"/>
    <cellStyle name="보통" xfId="31" builtinId="28" customBuiltin="1"/>
    <cellStyle name="분야" xfId="32"/>
    <cellStyle name="분야1" xfId="33"/>
    <cellStyle name="비고" xfId="34"/>
    <cellStyle name="설명 텍스트" xfId="35" builtinId="53" customBuiltin="1"/>
    <cellStyle name="셀 확인" xfId="36" builtinId="23" customBuiltin="1"/>
    <cellStyle name="쉼표 [0]" xfId="37" builtinId="6"/>
    <cellStyle name="스타일 1" xfId="38"/>
    <cellStyle name="연결된 셀" xfId="39" builtinId="24" customBuiltin="1"/>
    <cellStyle name="요약" xfId="40" builtinId="25" customBuiltin="1"/>
    <cellStyle name="입력" xfId="41" builtinId="20" customBuiltin="1"/>
    <cellStyle name="장" xfId="42"/>
    <cellStyle name="제목" xfId="43" builtinId="15" customBuiltin="1"/>
    <cellStyle name="제목 1" xfId="44" builtinId="16" customBuiltin="1"/>
    <cellStyle name="제목 2" xfId="45" builtinId="17" customBuiltin="1"/>
    <cellStyle name="제목 3" xfId="46" builtinId="18" customBuiltin="1"/>
    <cellStyle name="제목 4" xfId="47" builtinId="19" customBuiltin="1"/>
    <cellStyle name="제목1" xfId="48"/>
    <cellStyle name="제목2" xfId="49"/>
    <cellStyle name="좋음" xfId="50" builtinId="26" customBuiltin="1"/>
    <cellStyle name="주석1" xfId="51"/>
    <cellStyle name="주석2" xfId="52"/>
    <cellStyle name="주석3" xfId="53"/>
    <cellStyle name="총계" xfId="54"/>
    <cellStyle name="출력" xfId="55" builtinId="21" customBuiltin="1"/>
    <cellStyle name="콤마 [0]_95" xfId="56"/>
    <cellStyle name="콤마_95" xfId="57"/>
    <cellStyle name="통화 [0] 2" xfId="58"/>
    <cellStyle name="표준" xfId="0" builtinId="0"/>
    <cellStyle name="표준 2" xfId="59"/>
    <cellStyle name="표준_사업별예산(토월초)" xfId="60"/>
    <cellStyle name="필드명" xfId="61"/>
    <cellStyle name="헤드1" xfId="62"/>
    <cellStyle name="Header1" xfId="63"/>
    <cellStyle name="Header2" xfId="6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47560;&#49828;&#53552;/My%20Documents/CoolDown/2009&#54617;&#45380;&#46020;%20&#50696;&#49328;&#49436;(09.01.05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예산총괄표"/>
      <sheetName val="세입예산"/>
      <sheetName val="세출예산"/>
      <sheetName val="예산총괄비교표"/>
      <sheetName val="직원보수일람표"/>
      <sheetName val="기구 및 정·현원 일람표"/>
      <sheetName val="학교회계성질별조서"/>
      <sheetName val="학급편성및학생수조서(2)"/>
      <sheetName val="수업료 (2)"/>
      <sheetName val="수익자부담경비 (2)"/>
      <sheetName val="학급편성및학생수조서"/>
      <sheetName val="수업료"/>
      <sheetName val="수익자부담경비"/>
      <sheetName val="기구및정현원일람표"/>
      <sheetName val="보수산정작업"/>
      <sheetName val="Sheet3"/>
      <sheetName val="직원"/>
    </sheetNames>
    <sheetDataSet>
      <sheetData sheetId="0"/>
      <sheetData sheetId="1">
        <row r="31">
          <cell r="D31">
            <v>0</v>
          </cell>
        </row>
        <row r="35">
          <cell r="D35">
            <v>0</v>
          </cell>
        </row>
        <row r="38">
          <cell r="D38">
            <v>0</v>
          </cell>
        </row>
      </sheetData>
      <sheetData sheetId="2">
        <row r="768">
          <cell r="D768">
            <v>0</v>
          </cell>
        </row>
        <row r="771">
          <cell r="D771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4"/>
  <sheetViews>
    <sheetView tabSelected="1" workbookViewId="0"/>
  </sheetViews>
  <sheetFormatPr defaultRowHeight="16.5"/>
  <cols>
    <col min="1" max="2" width="12.77734375" style="99" customWidth="1"/>
    <col min="3" max="3" width="9.21875" style="99" customWidth="1"/>
    <col min="4" max="4" width="8" style="99" customWidth="1"/>
    <col min="5" max="6" width="12.77734375" style="99" customWidth="1"/>
    <col min="7" max="7" width="9.21875" style="99" customWidth="1"/>
    <col min="8" max="8" width="8" style="99" customWidth="1"/>
    <col min="9" max="16384" width="8.88671875" style="99"/>
  </cols>
  <sheetData>
    <row r="1" spans="1:8" ht="17.25" thickBot="1">
      <c r="H1" s="100" t="s">
        <v>123</v>
      </c>
    </row>
    <row r="2" spans="1:8" s="101" customFormat="1" ht="30" customHeight="1">
      <c r="A2" s="152" t="s">
        <v>120</v>
      </c>
      <c r="B2" s="153"/>
      <c r="C2" s="153"/>
      <c r="D2" s="154"/>
      <c r="E2" s="155" t="s">
        <v>121</v>
      </c>
      <c r="F2" s="153"/>
      <c r="G2" s="153"/>
      <c r="H2" s="156"/>
    </row>
    <row r="3" spans="1:8" s="101" customFormat="1" ht="39" customHeight="1">
      <c r="A3" s="102" t="s">
        <v>106</v>
      </c>
      <c r="B3" s="103" t="s">
        <v>239</v>
      </c>
      <c r="C3" s="103" t="s">
        <v>240</v>
      </c>
      <c r="D3" s="103" t="s">
        <v>238</v>
      </c>
      <c r="E3" s="103" t="s">
        <v>106</v>
      </c>
      <c r="F3" s="103" t="s">
        <v>241</v>
      </c>
      <c r="G3" s="103" t="s">
        <v>122</v>
      </c>
      <c r="H3" s="104" t="s">
        <v>238</v>
      </c>
    </row>
    <row r="4" spans="1:8" ht="24" customHeight="1">
      <c r="A4" s="1" t="s">
        <v>107</v>
      </c>
      <c r="B4" s="105">
        <f>'2011학년도 세입예산 명세서'!G5</f>
        <v>274000000</v>
      </c>
      <c r="C4" s="105">
        <f>'2011학년도 세입예산 명세서'!H5</f>
        <v>134676000</v>
      </c>
      <c r="D4" s="135">
        <f>B4/C4</f>
        <v>2.0345124595325075</v>
      </c>
      <c r="E4" s="106" t="s">
        <v>108</v>
      </c>
      <c r="F4" s="105">
        <f>'2011학년도 세출예산 명세서'!G5</f>
        <v>4277560800</v>
      </c>
      <c r="G4" s="105">
        <f>'2011학년도 세출예산 명세서'!H5</f>
        <v>4135183000</v>
      </c>
      <c r="H4" s="133">
        <f t="shared" ref="H4:H10" si="0">F4/G4</f>
        <v>1.0344308341372075</v>
      </c>
    </row>
    <row r="5" spans="1:8" ht="24" customHeight="1">
      <c r="A5" s="107" t="s">
        <v>109</v>
      </c>
      <c r="B5" s="108">
        <f>'2011학년도 세입예산 명세서'!G17</f>
        <v>13853006200.387096</v>
      </c>
      <c r="C5" s="108">
        <f>'2011학년도 세입예산 명세서'!H17</f>
        <v>13910624000</v>
      </c>
      <c r="D5" s="136">
        <f>B5/C5</f>
        <v>0.995858000359085</v>
      </c>
      <c r="E5" s="109" t="s">
        <v>110</v>
      </c>
      <c r="F5" s="108">
        <f>'2011학년도 세출예산 명세서'!G117</f>
        <v>6800534000.333334</v>
      </c>
      <c r="G5" s="108">
        <f>'2011학년도 세출예산 명세서'!H117</f>
        <v>6843120000</v>
      </c>
      <c r="H5" s="133">
        <f t="shared" si="0"/>
        <v>0.99377681530257167</v>
      </c>
    </row>
    <row r="6" spans="1:8" ht="24" customHeight="1">
      <c r="A6" s="107" t="s">
        <v>111</v>
      </c>
      <c r="B6" s="108">
        <f>'2011학년도 세입예산 명세서'!G111</f>
        <v>500000000</v>
      </c>
      <c r="C6" s="108">
        <f>'2011학년도 세입예산 명세서'!H111</f>
        <v>899700000</v>
      </c>
      <c r="D6" s="136">
        <f>B6/C6</f>
        <v>0.5557408024897188</v>
      </c>
      <c r="E6" s="109" t="s">
        <v>112</v>
      </c>
      <c r="F6" s="108">
        <f>'2011학년도 세출예산 명세서'!G207</f>
        <v>842730000</v>
      </c>
      <c r="G6" s="108">
        <f>'2011학년도 세출예산 명세서'!H207</f>
        <v>921029000</v>
      </c>
      <c r="H6" s="133">
        <f t="shared" si="0"/>
        <v>0.91498747596438335</v>
      </c>
    </row>
    <row r="7" spans="1:8" ht="24" customHeight="1">
      <c r="A7" s="107"/>
      <c r="B7" s="108">
        <v>0</v>
      </c>
      <c r="C7" s="108">
        <f>[1]세입예산!D35</f>
        <v>0</v>
      </c>
      <c r="D7" s="137">
        <f t="shared" ref="D7:D13" si="1">B7-C7</f>
        <v>0</v>
      </c>
      <c r="E7" s="109" t="s">
        <v>113</v>
      </c>
      <c r="F7" s="108">
        <f>'2011학년도 세출예산 명세서'!G295</f>
        <v>1308500000</v>
      </c>
      <c r="G7" s="108">
        <f>'2011학년도 세출예산 명세서'!H295</f>
        <v>1410500000</v>
      </c>
      <c r="H7" s="133">
        <f t="shared" si="0"/>
        <v>0.92768521800779868</v>
      </c>
    </row>
    <row r="8" spans="1:8" ht="24" customHeight="1">
      <c r="A8" s="107"/>
      <c r="B8" s="108">
        <v>0</v>
      </c>
      <c r="C8" s="108">
        <f>[1]세입예산!D38</f>
        <v>0</v>
      </c>
      <c r="D8" s="137">
        <f t="shared" si="1"/>
        <v>0</v>
      </c>
      <c r="E8" s="109" t="s">
        <v>114</v>
      </c>
      <c r="F8" s="108">
        <f>'2011학년도 세출예산 명세서'!G330</f>
        <v>634140200</v>
      </c>
      <c r="G8" s="108">
        <f>'2011학년도 세출예산 명세서'!H330</f>
        <v>457499000</v>
      </c>
      <c r="H8" s="133">
        <f t="shared" si="0"/>
        <v>1.3861018275449783</v>
      </c>
    </row>
    <row r="9" spans="1:8" ht="24" customHeight="1">
      <c r="A9" s="107"/>
      <c r="B9" s="108">
        <v>0</v>
      </c>
      <c r="C9" s="108">
        <v>0</v>
      </c>
      <c r="D9" s="137">
        <f t="shared" si="1"/>
        <v>0</v>
      </c>
      <c r="E9" s="109" t="s">
        <v>115</v>
      </c>
      <c r="F9" s="108">
        <f>'2011학년도 세출예산 명세서'!G383</f>
        <v>763541200</v>
      </c>
      <c r="G9" s="108">
        <f>'2011학년도 세출예산 명세서'!H383</f>
        <v>850489000</v>
      </c>
      <c r="H9" s="133">
        <f t="shared" si="0"/>
        <v>0.89776728446811183</v>
      </c>
    </row>
    <row r="10" spans="1:8" ht="24" customHeight="1">
      <c r="A10" s="107"/>
      <c r="B10" s="108">
        <v>0</v>
      </c>
      <c r="C10" s="108">
        <v>0</v>
      </c>
      <c r="D10" s="137">
        <f t="shared" si="1"/>
        <v>0</v>
      </c>
      <c r="E10" s="109" t="s">
        <v>116</v>
      </c>
      <c r="F10" s="108">
        <f>'2011학년도 세출예산 명세서'!G445</f>
        <v>0</v>
      </c>
      <c r="G10" s="108">
        <f>'2011학년도 세출예산 명세서'!H445</f>
        <v>336180000</v>
      </c>
      <c r="H10" s="133">
        <f t="shared" si="0"/>
        <v>0</v>
      </c>
    </row>
    <row r="11" spans="1:8" ht="24" customHeight="1">
      <c r="A11" s="107"/>
      <c r="B11" s="108">
        <v>0</v>
      </c>
      <c r="C11" s="108">
        <v>0</v>
      </c>
      <c r="D11" s="137">
        <f t="shared" si="1"/>
        <v>0</v>
      </c>
      <c r="E11" s="109" t="s">
        <v>117</v>
      </c>
      <c r="F11" s="108">
        <v>0</v>
      </c>
      <c r="G11" s="108">
        <f>[1]세출예산!D768</f>
        <v>0</v>
      </c>
      <c r="H11" s="110">
        <f>F11-G11</f>
        <v>0</v>
      </c>
    </row>
    <row r="12" spans="1:8" ht="24" customHeight="1">
      <c r="A12" s="107"/>
      <c r="B12" s="108">
        <v>0</v>
      </c>
      <c r="C12" s="108">
        <v>0</v>
      </c>
      <c r="D12" s="137">
        <f t="shared" si="1"/>
        <v>0</v>
      </c>
      <c r="E12" s="109"/>
      <c r="F12" s="108">
        <v>0</v>
      </c>
      <c r="G12" s="108">
        <f>[1]세출예산!D771</f>
        <v>0</v>
      </c>
      <c r="H12" s="110">
        <f>F12-G12</f>
        <v>0</v>
      </c>
    </row>
    <row r="13" spans="1:8" ht="24" customHeight="1">
      <c r="A13" s="107"/>
      <c r="B13" s="108">
        <v>0</v>
      </c>
      <c r="C13" s="108">
        <v>0</v>
      </c>
      <c r="D13" s="137">
        <f t="shared" si="1"/>
        <v>0</v>
      </c>
      <c r="E13" s="109"/>
      <c r="F13" s="111">
        <v>0</v>
      </c>
      <c r="G13" s="111">
        <v>0</v>
      </c>
      <c r="H13" s="112">
        <f>F13-G13</f>
        <v>0</v>
      </c>
    </row>
    <row r="14" spans="1:8" ht="24" customHeight="1" thickBot="1">
      <c r="A14" s="113" t="s">
        <v>118</v>
      </c>
      <c r="B14" s="114">
        <f>SUM(B4:B13)</f>
        <v>14627006200.387096</v>
      </c>
      <c r="C14" s="114">
        <f>SUM(C4:C13)</f>
        <v>14945000000</v>
      </c>
      <c r="D14" s="138">
        <f>B14/C14</f>
        <v>0.97872239547588469</v>
      </c>
      <c r="E14" s="115" t="s">
        <v>119</v>
      </c>
      <c r="F14" s="114">
        <f>SUM(F4:F13)</f>
        <v>14627006200.333334</v>
      </c>
      <c r="G14" s="114">
        <f>SUM(G4:G13)</f>
        <v>14954000000</v>
      </c>
      <c r="H14" s="134">
        <f>F14/G14</f>
        <v>0.97813335564620396</v>
      </c>
    </row>
  </sheetData>
  <mergeCells count="2">
    <mergeCell ref="A2:D2"/>
    <mergeCell ref="E2:H2"/>
  </mergeCells>
  <phoneticPr fontId="2" type="noConversion"/>
  <pageMargins left="0.23622047244094491" right="0.23622047244094491" top="0.94488188976377963" bottom="0.74803149606299213" header="0.43307086614173229" footer="0.31496062992125984"/>
  <pageSetup paperSize="9" orientation="portrait" verticalDpi="0" r:id="rId1"/>
  <headerFooter>
    <oddHeader>&amp;C&amp;"맑은 고딕,굵게"2010학년도 반기 결산총괄표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118"/>
  <sheetViews>
    <sheetView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E1" sqref="E1"/>
    </sheetView>
  </sheetViews>
  <sheetFormatPr defaultRowHeight="22.5" customHeight="1"/>
  <cols>
    <col min="1" max="4" width="3.5546875" style="7" customWidth="1"/>
    <col min="5" max="5" width="13.5546875" style="7" customWidth="1"/>
    <col min="6" max="6" width="13.109375" style="7" customWidth="1"/>
    <col min="7" max="8" width="10.6640625" style="7" customWidth="1"/>
    <col min="9" max="9" width="8.88671875" style="116"/>
    <col min="10" max="10" width="15" style="80" customWidth="1"/>
    <col min="11" max="16384" width="8.88671875" style="7"/>
  </cols>
  <sheetData>
    <row r="1" spans="1:10" ht="18" customHeight="1">
      <c r="A1" s="2"/>
      <c r="B1" s="2"/>
      <c r="C1" s="2"/>
      <c r="D1" s="3"/>
      <c r="E1" s="2"/>
      <c r="F1" s="3"/>
      <c r="G1" s="4"/>
      <c r="H1" s="5"/>
      <c r="J1" s="6"/>
    </row>
    <row r="2" spans="1:10" ht="18" customHeight="1">
      <c r="A2" s="8"/>
      <c r="B2" s="9"/>
      <c r="C2" s="10"/>
      <c r="D2" s="10"/>
      <c r="E2" s="10"/>
      <c r="F2" s="11"/>
      <c r="G2" s="10"/>
      <c r="H2" s="10"/>
      <c r="J2" s="98" t="s">
        <v>123</v>
      </c>
    </row>
    <row r="3" spans="1:10" ht="18" customHeight="1">
      <c r="A3" s="163" t="s">
        <v>55</v>
      </c>
      <c r="B3" s="164"/>
      <c r="C3" s="164"/>
      <c r="D3" s="164"/>
      <c r="E3" s="164"/>
      <c r="F3" s="165" t="s">
        <v>18</v>
      </c>
      <c r="G3" s="167" t="s">
        <v>128</v>
      </c>
      <c r="H3" s="167" t="s">
        <v>124</v>
      </c>
      <c r="I3" s="157" t="s">
        <v>127</v>
      </c>
      <c r="J3" s="159" t="s">
        <v>125</v>
      </c>
    </row>
    <row r="4" spans="1:10" ht="18" customHeight="1">
      <c r="A4" s="12" t="s">
        <v>0</v>
      </c>
      <c r="B4" s="131" t="s">
        <v>16</v>
      </c>
      <c r="C4" s="131" t="s">
        <v>1</v>
      </c>
      <c r="D4" s="131" t="s">
        <v>17</v>
      </c>
      <c r="E4" s="131" t="s">
        <v>2</v>
      </c>
      <c r="F4" s="166"/>
      <c r="G4" s="168"/>
      <c r="H4" s="168"/>
      <c r="I4" s="158"/>
      <c r="J4" s="160"/>
    </row>
    <row r="5" spans="1:10" ht="18" customHeight="1">
      <c r="A5" s="169" t="s">
        <v>19</v>
      </c>
      <c r="B5" s="170"/>
      <c r="C5" s="170"/>
      <c r="D5" s="170"/>
      <c r="E5" s="171"/>
      <c r="F5" s="13"/>
      <c r="G5" s="14">
        <f>G6+G11</f>
        <v>274000000</v>
      </c>
      <c r="H5" s="14">
        <f t="shared" ref="H5:I5" si="0">H6+H11</f>
        <v>134676000</v>
      </c>
      <c r="I5" s="14">
        <f t="shared" si="0"/>
        <v>139324000</v>
      </c>
      <c r="J5" s="117"/>
    </row>
    <row r="6" spans="1:10" ht="18" customHeight="1">
      <c r="A6" s="15"/>
      <c r="B6" s="172" t="s">
        <v>5</v>
      </c>
      <c r="C6" s="173"/>
      <c r="D6" s="173"/>
      <c r="E6" s="174"/>
      <c r="F6" s="16"/>
      <c r="G6" s="17">
        <f>G7</f>
        <v>31000000</v>
      </c>
      <c r="H6" s="17">
        <f t="shared" ref="H6:I6" si="1">H7</f>
        <v>84676000</v>
      </c>
      <c r="I6" s="17">
        <f t="shared" si="1"/>
        <v>-53676000</v>
      </c>
      <c r="J6" s="118"/>
    </row>
    <row r="7" spans="1:10" ht="18" customHeight="1">
      <c r="A7" s="19"/>
      <c r="B7" s="20"/>
      <c r="C7" s="161" t="s">
        <v>6</v>
      </c>
      <c r="D7" s="162"/>
      <c r="E7" s="162"/>
      <c r="F7" s="21"/>
      <c r="G7" s="22">
        <f>G8</f>
        <v>31000000</v>
      </c>
      <c r="H7" s="22">
        <f t="shared" ref="H7:I7" si="2">H8</f>
        <v>84676000</v>
      </c>
      <c r="I7" s="22">
        <f t="shared" si="2"/>
        <v>-53676000</v>
      </c>
      <c r="J7" s="119"/>
    </row>
    <row r="8" spans="1:10" s="30" customFormat="1" ht="18" customHeight="1">
      <c r="A8" s="19"/>
      <c r="B8" s="24"/>
      <c r="C8" s="25"/>
      <c r="D8" s="175" t="s">
        <v>7</v>
      </c>
      <c r="E8" s="175"/>
      <c r="F8" s="26"/>
      <c r="G8" s="27">
        <f>SUM(G9:G10)</f>
        <v>31000000</v>
      </c>
      <c r="H8" s="27">
        <f t="shared" ref="H8:I8" si="3">SUM(H9:H10)</f>
        <v>84676000</v>
      </c>
      <c r="I8" s="27">
        <f t="shared" si="3"/>
        <v>-53676000</v>
      </c>
      <c r="J8" s="120"/>
    </row>
    <row r="9" spans="1:10" s="30" customFormat="1" ht="18" customHeight="1">
      <c r="A9" s="19"/>
      <c r="B9" s="24"/>
      <c r="C9" s="31"/>
      <c r="D9" s="32"/>
      <c r="E9" s="33" t="s">
        <v>8</v>
      </c>
      <c r="F9" s="26" t="s">
        <v>9</v>
      </c>
      <c r="G9" s="34">
        <v>3000000</v>
      </c>
      <c r="H9" s="34">
        <f>24876000+22500000</f>
        <v>47376000</v>
      </c>
      <c r="I9" s="28">
        <f t="shared" ref="I9:I61" si="4">G9-H9</f>
        <v>-44376000</v>
      </c>
      <c r="J9" s="121" t="s">
        <v>562</v>
      </c>
    </row>
    <row r="10" spans="1:10" s="30" customFormat="1" ht="18" customHeight="1">
      <c r="A10" s="19"/>
      <c r="B10" s="24"/>
      <c r="C10" s="31"/>
      <c r="D10" s="32"/>
      <c r="E10" s="33" t="s">
        <v>8</v>
      </c>
      <c r="F10" s="26" t="s">
        <v>651</v>
      </c>
      <c r="G10" s="34">
        <f>3000000+25000000</f>
        <v>28000000</v>
      </c>
      <c r="H10" s="34">
        <f>(5875000*4)+8800000+5000000</f>
        <v>37300000</v>
      </c>
      <c r="I10" s="28">
        <f t="shared" si="4"/>
        <v>-9300000</v>
      </c>
      <c r="J10" s="121" t="s">
        <v>126</v>
      </c>
    </row>
    <row r="11" spans="1:10" ht="18" customHeight="1">
      <c r="A11" s="15"/>
      <c r="B11" s="176" t="s">
        <v>20</v>
      </c>
      <c r="C11" s="177"/>
      <c r="D11" s="177"/>
      <c r="E11" s="178"/>
      <c r="F11" s="16"/>
      <c r="G11" s="17">
        <f>G12</f>
        <v>243000000</v>
      </c>
      <c r="H11" s="17">
        <f t="shared" ref="H11:I11" si="5">H12</f>
        <v>50000000</v>
      </c>
      <c r="I11" s="17">
        <f t="shared" si="5"/>
        <v>193000000</v>
      </c>
      <c r="J11" s="118"/>
    </row>
    <row r="12" spans="1:10" ht="18" customHeight="1">
      <c r="A12" s="19"/>
      <c r="B12" s="20"/>
      <c r="C12" s="161" t="s">
        <v>20</v>
      </c>
      <c r="D12" s="162"/>
      <c r="E12" s="162"/>
      <c r="F12" s="21"/>
      <c r="G12" s="22">
        <f>G13</f>
        <v>243000000</v>
      </c>
      <c r="H12" s="22">
        <f t="shared" ref="H12:I12" si="6">H13</f>
        <v>50000000</v>
      </c>
      <c r="I12" s="22">
        <f t="shared" si="6"/>
        <v>193000000</v>
      </c>
      <c r="J12" s="119"/>
    </row>
    <row r="13" spans="1:10" s="30" customFormat="1" ht="18" customHeight="1">
      <c r="A13" s="19"/>
      <c r="B13" s="24"/>
      <c r="C13" s="25"/>
      <c r="D13" s="175" t="s">
        <v>21</v>
      </c>
      <c r="E13" s="175"/>
      <c r="F13" s="26"/>
      <c r="G13" s="27">
        <f>SUM(G14:G16)</f>
        <v>243000000</v>
      </c>
      <c r="H13" s="27">
        <f t="shared" ref="H13:I13" si="7">SUM(H14:H16)</f>
        <v>50000000</v>
      </c>
      <c r="I13" s="27">
        <f t="shared" si="7"/>
        <v>193000000</v>
      </c>
      <c r="J13" s="120"/>
    </row>
    <row r="14" spans="1:10" s="30" customFormat="1" ht="18" customHeight="1">
      <c r="A14" s="19"/>
      <c r="B14" s="24"/>
      <c r="C14" s="31"/>
      <c r="D14" s="32"/>
      <c r="E14" s="33" t="s">
        <v>21</v>
      </c>
      <c r="F14" s="26" t="s">
        <v>129</v>
      </c>
      <c r="G14" s="34">
        <v>170000000</v>
      </c>
      <c r="H14" s="34">
        <v>27000000</v>
      </c>
      <c r="I14" s="28">
        <f t="shared" si="4"/>
        <v>143000000</v>
      </c>
      <c r="J14" s="121"/>
    </row>
    <row r="15" spans="1:10" s="30" customFormat="1" ht="18" customHeight="1">
      <c r="A15" s="19"/>
      <c r="B15" s="24"/>
      <c r="C15" s="31"/>
      <c r="D15" s="32"/>
      <c r="E15" s="33" t="s">
        <v>130</v>
      </c>
      <c r="F15" s="26" t="s">
        <v>131</v>
      </c>
      <c r="G15" s="34">
        <v>65000000</v>
      </c>
      <c r="H15" s="34">
        <v>18000000</v>
      </c>
      <c r="I15" s="28">
        <f t="shared" si="4"/>
        <v>47000000</v>
      </c>
      <c r="J15" s="121"/>
    </row>
    <row r="16" spans="1:10" s="30" customFormat="1" ht="18" customHeight="1">
      <c r="A16" s="19"/>
      <c r="B16" s="31"/>
      <c r="C16" s="31"/>
      <c r="D16" s="32"/>
      <c r="E16" s="26" t="s">
        <v>130</v>
      </c>
      <c r="F16" s="26" t="s">
        <v>132</v>
      </c>
      <c r="G16" s="34">
        <v>8000000</v>
      </c>
      <c r="H16" s="34">
        <v>5000000</v>
      </c>
      <c r="I16" s="28">
        <f t="shared" si="4"/>
        <v>3000000</v>
      </c>
      <c r="J16" s="121"/>
    </row>
    <row r="17" spans="1:10" ht="18" customHeight="1">
      <c r="A17" s="169" t="s">
        <v>133</v>
      </c>
      <c r="B17" s="170"/>
      <c r="C17" s="170"/>
      <c r="D17" s="170"/>
      <c r="E17" s="171"/>
      <c r="F17" s="13"/>
      <c r="G17" s="14">
        <f>G18+G83+G94+G99+G105</f>
        <v>13853006200.387096</v>
      </c>
      <c r="H17" s="14">
        <f t="shared" ref="H17:I17" si="8">H18+H83+H94+H99+H105</f>
        <v>13910624000</v>
      </c>
      <c r="I17" s="14">
        <f t="shared" si="8"/>
        <v>-57617799.612903237</v>
      </c>
      <c r="J17" s="117"/>
    </row>
    <row r="18" spans="1:10" ht="18" customHeight="1">
      <c r="A18" s="15"/>
      <c r="B18" s="172" t="s">
        <v>134</v>
      </c>
      <c r="C18" s="173"/>
      <c r="D18" s="173"/>
      <c r="E18" s="174"/>
      <c r="F18" s="16"/>
      <c r="G18" s="17">
        <f>G19+G36</f>
        <v>13224606200.387096</v>
      </c>
      <c r="H18" s="17">
        <f t="shared" ref="H18:I18" si="9">H19+H36</f>
        <v>13305785000</v>
      </c>
      <c r="I18" s="17">
        <f t="shared" si="9"/>
        <v>-81178799.612903237</v>
      </c>
      <c r="J18" s="118"/>
    </row>
    <row r="19" spans="1:10" ht="18" customHeight="1">
      <c r="A19" s="19"/>
      <c r="B19" s="20"/>
      <c r="C19" s="161" t="s">
        <v>135</v>
      </c>
      <c r="D19" s="162"/>
      <c r="E19" s="162"/>
      <c r="F19" s="21"/>
      <c r="G19" s="22">
        <f>G20+G22+G27+G29+G34</f>
        <v>5427072200</v>
      </c>
      <c r="H19" s="22">
        <f t="shared" ref="H19:I19" si="10">H20+H22+H27+H29+H34</f>
        <v>5311785000</v>
      </c>
      <c r="I19" s="22">
        <f t="shared" si="10"/>
        <v>115287200</v>
      </c>
      <c r="J19" s="119"/>
    </row>
    <row r="20" spans="1:10" s="30" customFormat="1" ht="18" customHeight="1">
      <c r="A20" s="19"/>
      <c r="B20" s="24"/>
      <c r="C20" s="25"/>
      <c r="D20" s="175" t="s">
        <v>136</v>
      </c>
      <c r="E20" s="175"/>
      <c r="F20" s="26"/>
      <c r="G20" s="27">
        <f>G21</f>
        <v>10980200</v>
      </c>
      <c r="H20" s="27">
        <f t="shared" ref="H20:I20" si="11">H21</f>
        <v>180500000</v>
      </c>
      <c r="I20" s="27">
        <f t="shared" si="11"/>
        <v>-169519800</v>
      </c>
      <c r="J20" s="120"/>
    </row>
    <row r="21" spans="1:10" s="30" customFormat="1" ht="18" customHeight="1">
      <c r="A21" s="19"/>
      <c r="B21" s="24"/>
      <c r="C21" s="31"/>
      <c r="D21" s="32"/>
      <c r="E21" s="33" t="s">
        <v>136</v>
      </c>
      <c r="F21" s="26" t="s">
        <v>136</v>
      </c>
      <c r="G21" s="34">
        <f>32200*341</f>
        <v>10980200</v>
      </c>
      <c r="H21" s="34">
        <v>180500000</v>
      </c>
      <c r="I21" s="28">
        <f t="shared" si="4"/>
        <v>-169519800</v>
      </c>
      <c r="J21" s="121"/>
    </row>
    <row r="22" spans="1:10" s="30" customFormat="1" ht="18" customHeight="1">
      <c r="A22" s="19"/>
      <c r="B22" s="24"/>
      <c r="C22" s="31"/>
      <c r="D22" s="175" t="s">
        <v>137</v>
      </c>
      <c r="E22" s="175"/>
      <c r="F22" s="26"/>
      <c r="G22" s="27">
        <f>SUM(G23:G26)</f>
        <v>4385383200</v>
      </c>
      <c r="H22" s="27">
        <f t="shared" ref="H22:I22" si="12">SUM(H23:H26)</f>
        <v>4796000000</v>
      </c>
      <c r="I22" s="27">
        <f t="shared" si="12"/>
        <v>-410616800</v>
      </c>
      <c r="J22" s="120"/>
    </row>
    <row r="23" spans="1:10" s="30" customFormat="1" ht="18" customHeight="1">
      <c r="A23" s="19"/>
      <c r="B23" s="24"/>
      <c r="C23" s="31"/>
      <c r="D23" s="32"/>
      <c r="E23" s="26" t="s">
        <v>137</v>
      </c>
      <c r="F23" s="26" t="s">
        <v>138</v>
      </c>
      <c r="G23" s="34">
        <f>(685800*341)+(1188000*726)</f>
        <v>1096345800</v>
      </c>
      <c r="H23" s="34">
        <v>1199000000</v>
      </c>
      <c r="I23" s="28">
        <f t="shared" si="4"/>
        <v>-102654200</v>
      </c>
      <c r="J23" s="121"/>
    </row>
    <row r="24" spans="1:10" s="30" customFormat="1" ht="18" customHeight="1">
      <c r="A24" s="19"/>
      <c r="B24" s="24"/>
      <c r="C24" s="31"/>
      <c r="D24" s="32"/>
      <c r="E24" s="26" t="s">
        <v>137</v>
      </c>
      <c r="F24" s="26" t="s">
        <v>139</v>
      </c>
      <c r="G24" s="34">
        <f t="shared" ref="G24:G26" si="13">(685800*341)+(1188000*726)</f>
        <v>1096345800</v>
      </c>
      <c r="H24" s="34">
        <v>1199000000</v>
      </c>
      <c r="I24" s="28">
        <f t="shared" si="4"/>
        <v>-102654200</v>
      </c>
      <c r="J24" s="121"/>
    </row>
    <row r="25" spans="1:10" s="30" customFormat="1" ht="18" customHeight="1">
      <c r="A25" s="19"/>
      <c r="B25" s="24"/>
      <c r="C25" s="31"/>
      <c r="D25" s="32"/>
      <c r="E25" s="26" t="s">
        <v>137</v>
      </c>
      <c r="F25" s="26" t="s">
        <v>140</v>
      </c>
      <c r="G25" s="34">
        <f t="shared" si="13"/>
        <v>1096345800</v>
      </c>
      <c r="H25" s="34">
        <v>1199000000</v>
      </c>
      <c r="I25" s="28">
        <f t="shared" si="4"/>
        <v>-102654200</v>
      </c>
      <c r="J25" s="121"/>
    </row>
    <row r="26" spans="1:10" s="30" customFormat="1" ht="18" customHeight="1">
      <c r="A26" s="19"/>
      <c r="B26" s="31"/>
      <c r="C26" s="31"/>
      <c r="D26" s="32"/>
      <c r="E26" s="26" t="s">
        <v>137</v>
      </c>
      <c r="F26" s="26" t="s">
        <v>141</v>
      </c>
      <c r="G26" s="34">
        <f t="shared" si="13"/>
        <v>1096345800</v>
      </c>
      <c r="H26" s="34">
        <v>1199000000</v>
      </c>
      <c r="I26" s="28">
        <f t="shared" si="4"/>
        <v>-102654200</v>
      </c>
      <c r="J26" s="121"/>
    </row>
    <row r="27" spans="1:10" s="30" customFormat="1" ht="18" customHeight="1">
      <c r="A27" s="19"/>
      <c r="B27" s="24"/>
      <c r="C27" s="31"/>
      <c r="D27" s="175" t="s">
        <v>142</v>
      </c>
      <c r="E27" s="175"/>
      <c r="F27" s="26"/>
      <c r="G27" s="27">
        <f>G28</f>
        <v>0</v>
      </c>
      <c r="H27" s="27">
        <f t="shared" ref="H27:I27" si="14">H28</f>
        <v>8060000</v>
      </c>
      <c r="I27" s="27">
        <f t="shared" si="14"/>
        <v>-8060000</v>
      </c>
      <c r="J27" s="120"/>
    </row>
    <row r="28" spans="1:10" s="30" customFormat="1" ht="18" customHeight="1">
      <c r="A28" s="19"/>
      <c r="B28" s="31"/>
      <c r="C28" s="31"/>
      <c r="D28" s="32"/>
      <c r="E28" s="26" t="s">
        <v>143</v>
      </c>
      <c r="F28" s="26" t="s">
        <v>143</v>
      </c>
      <c r="G28" s="34">
        <v>0</v>
      </c>
      <c r="H28" s="34">
        <v>8060000</v>
      </c>
      <c r="I28" s="28">
        <f t="shared" si="4"/>
        <v>-8060000</v>
      </c>
      <c r="J28" s="121"/>
    </row>
    <row r="29" spans="1:10" s="30" customFormat="1" ht="18" customHeight="1">
      <c r="A29" s="19"/>
      <c r="B29" s="24"/>
      <c r="C29" s="31"/>
      <c r="D29" s="179" t="s">
        <v>144</v>
      </c>
      <c r="E29" s="180"/>
      <c r="F29" s="26"/>
      <c r="G29" s="27">
        <f>SUM(G30:G33)</f>
        <v>1030708800</v>
      </c>
      <c r="H29" s="27">
        <f t="shared" ref="H29:I29" si="15">SUM(H30:H33)</f>
        <v>327000000</v>
      </c>
      <c r="I29" s="27">
        <f t="shared" si="15"/>
        <v>703708800</v>
      </c>
      <c r="J29" s="120"/>
    </row>
    <row r="30" spans="1:10" s="30" customFormat="1" ht="18" customHeight="1">
      <c r="A30" s="19"/>
      <c r="B30" s="24"/>
      <c r="C30" s="31"/>
      <c r="D30" s="41"/>
      <c r="E30" s="36" t="s">
        <v>144</v>
      </c>
      <c r="F30" s="34" t="s">
        <v>145</v>
      </c>
      <c r="G30" s="34">
        <f>(81000*726)+(583200*341)</f>
        <v>257677200</v>
      </c>
      <c r="H30" s="34">
        <v>81750000</v>
      </c>
      <c r="I30" s="28">
        <f t="shared" si="4"/>
        <v>175927200</v>
      </c>
      <c r="J30" s="121"/>
    </row>
    <row r="31" spans="1:10" s="30" customFormat="1" ht="18" customHeight="1">
      <c r="A31" s="19"/>
      <c r="B31" s="24"/>
      <c r="C31" s="31"/>
      <c r="D31" s="41"/>
      <c r="E31" s="36" t="s">
        <v>144</v>
      </c>
      <c r="F31" s="34" t="s">
        <v>146</v>
      </c>
      <c r="G31" s="34">
        <f t="shared" ref="G31:G33" si="16">(81000*726)+(583200*341)</f>
        <v>257677200</v>
      </c>
      <c r="H31" s="34">
        <v>81750000</v>
      </c>
      <c r="I31" s="28">
        <f t="shared" si="4"/>
        <v>175927200</v>
      </c>
      <c r="J31" s="121"/>
    </row>
    <row r="32" spans="1:10" s="30" customFormat="1" ht="18" customHeight="1">
      <c r="A32" s="19"/>
      <c r="B32" s="24"/>
      <c r="C32" s="31"/>
      <c r="D32" s="41"/>
      <c r="E32" s="36" t="s">
        <v>144</v>
      </c>
      <c r="F32" s="34" t="s">
        <v>147</v>
      </c>
      <c r="G32" s="34">
        <f t="shared" si="16"/>
        <v>257677200</v>
      </c>
      <c r="H32" s="34">
        <v>81750000</v>
      </c>
      <c r="I32" s="28">
        <f t="shared" si="4"/>
        <v>175927200</v>
      </c>
      <c r="J32" s="121"/>
    </row>
    <row r="33" spans="1:13" s="30" customFormat="1" ht="18" customHeight="1">
      <c r="A33" s="19"/>
      <c r="B33" s="31"/>
      <c r="C33" s="31"/>
      <c r="D33" s="41"/>
      <c r="E33" s="36" t="s">
        <v>144</v>
      </c>
      <c r="F33" s="34" t="s">
        <v>148</v>
      </c>
      <c r="G33" s="34">
        <f t="shared" si="16"/>
        <v>257677200</v>
      </c>
      <c r="H33" s="34">
        <v>81750000</v>
      </c>
      <c r="I33" s="28">
        <f t="shared" si="4"/>
        <v>175927200</v>
      </c>
      <c r="J33" s="121"/>
    </row>
    <row r="34" spans="1:13" s="30" customFormat="1" ht="18" customHeight="1">
      <c r="A34" s="19"/>
      <c r="B34" s="24"/>
      <c r="C34" s="31"/>
      <c r="D34" s="179" t="s">
        <v>144</v>
      </c>
      <c r="E34" s="180"/>
      <c r="F34" s="26"/>
      <c r="G34" s="27">
        <f>SUM(G35)</f>
        <v>0</v>
      </c>
      <c r="H34" s="27">
        <f t="shared" ref="H34:I34" si="17">SUM(H35)</f>
        <v>225000</v>
      </c>
      <c r="I34" s="27">
        <f t="shared" si="17"/>
        <v>-225000</v>
      </c>
      <c r="J34" s="120"/>
    </row>
    <row r="35" spans="1:13" s="30" customFormat="1" ht="18" customHeight="1">
      <c r="A35" s="19"/>
      <c r="B35" s="24"/>
      <c r="C35" s="24"/>
      <c r="D35" s="71"/>
      <c r="E35" s="81" t="s">
        <v>149</v>
      </c>
      <c r="F35" s="26" t="s">
        <v>149</v>
      </c>
      <c r="G35" s="34">
        <v>0</v>
      </c>
      <c r="H35" s="34">
        <v>225000</v>
      </c>
      <c r="I35" s="28">
        <f t="shared" si="4"/>
        <v>-225000</v>
      </c>
      <c r="J35" s="121"/>
    </row>
    <row r="36" spans="1:13" s="30" customFormat="1" ht="17.25" customHeight="1">
      <c r="A36" s="19"/>
      <c r="B36" s="24"/>
      <c r="C36" s="161" t="s">
        <v>150</v>
      </c>
      <c r="D36" s="162"/>
      <c r="E36" s="162"/>
      <c r="F36" s="43"/>
      <c r="G36" s="44">
        <f>G37+G51+G53+G67+G69+G73+G78+G80</f>
        <v>7797534000.3870964</v>
      </c>
      <c r="H36" s="44">
        <f t="shared" ref="H36:I36" si="18">H37+H51+H53+H67+H69+H73+H78+H80</f>
        <v>7994000000</v>
      </c>
      <c r="I36" s="44">
        <f t="shared" si="18"/>
        <v>-196465999.61290324</v>
      </c>
      <c r="J36" s="119"/>
    </row>
    <row r="37" spans="1:13" s="30" customFormat="1" ht="17.25" customHeight="1">
      <c r="A37" s="19"/>
      <c r="B37" s="24"/>
      <c r="C37" s="24"/>
      <c r="D37" s="179" t="s">
        <v>151</v>
      </c>
      <c r="E37" s="175"/>
      <c r="F37" s="26"/>
      <c r="G37" s="45">
        <f>SUM(G38:G50)</f>
        <v>3578764000</v>
      </c>
      <c r="H37" s="45">
        <f t="shared" ref="H37:I37" si="19">SUM(H38:H50)</f>
        <v>3576370000</v>
      </c>
      <c r="I37" s="45">
        <f t="shared" si="19"/>
        <v>2394000</v>
      </c>
      <c r="J37" s="120"/>
    </row>
    <row r="38" spans="1:13" s="30" customFormat="1" ht="17.25" customHeight="1">
      <c r="A38" s="19"/>
      <c r="B38" s="24"/>
      <c r="C38" s="24"/>
      <c r="D38" s="24"/>
      <c r="E38" s="26" t="s">
        <v>152</v>
      </c>
      <c r="F38" s="26" t="s">
        <v>153</v>
      </c>
      <c r="G38" s="34">
        <f>(334000*358)+(346000*732)</f>
        <v>372844000</v>
      </c>
      <c r="H38" s="34">
        <v>379320000</v>
      </c>
      <c r="I38" s="28">
        <f t="shared" si="4"/>
        <v>-6476000</v>
      </c>
      <c r="J38" s="121"/>
    </row>
    <row r="39" spans="1:13" s="30" customFormat="1" ht="17.25" customHeight="1">
      <c r="A39" s="19"/>
      <c r="B39" s="24"/>
      <c r="C39" s="24"/>
      <c r="D39" s="24"/>
      <c r="E39" s="26" t="s">
        <v>152</v>
      </c>
      <c r="F39" s="26" t="s">
        <v>154</v>
      </c>
      <c r="G39" s="34">
        <f>334000*1090</f>
        <v>364060000</v>
      </c>
      <c r="H39" s="34">
        <v>366240000</v>
      </c>
      <c r="I39" s="28">
        <f t="shared" si="4"/>
        <v>-2180000</v>
      </c>
      <c r="J39" s="121"/>
    </row>
    <row r="40" spans="1:13" s="30" customFormat="1" ht="17.25" customHeight="1">
      <c r="A40" s="19"/>
      <c r="B40" s="24"/>
      <c r="C40" s="24"/>
      <c r="D40" s="24"/>
      <c r="E40" s="26" t="s">
        <v>152</v>
      </c>
      <c r="F40" s="26" t="s">
        <v>155</v>
      </c>
      <c r="G40" s="34">
        <f>346000*1090</f>
        <v>377140000</v>
      </c>
      <c r="H40" s="34">
        <v>366240000</v>
      </c>
      <c r="I40" s="28">
        <f t="shared" si="4"/>
        <v>10900000</v>
      </c>
      <c r="J40" s="121"/>
    </row>
    <row r="41" spans="1:13" s="30" customFormat="1" ht="17.25" customHeight="1">
      <c r="A41" s="19"/>
      <c r="B41" s="24"/>
      <c r="C41" s="24"/>
      <c r="D41" s="24"/>
      <c r="E41" s="26" t="s">
        <v>152</v>
      </c>
      <c r="F41" s="26" t="s">
        <v>156</v>
      </c>
      <c r="G41" s="34">
        <f>334000*1090</f>
        <v>364060000</v>
      </c>
      <c r="H41" s="34">
        <v>366240000</v>
      </c>
      <c r="I41" s="28">
        <f t="shared" si="4"/>
        <v>-2180000</v>
      </c>
      <c r="J41" s="121"/>
    </row>
    <row r="42" spans="1:13" s="30" customFormat="1" ht="17.25" customHeight="1">
      <c r="A42" s="19"/>
      <c r="B42" s="24"/>
      <c r="C42" s="24"/>
      <c r="D42" s="24"/>
      <c r="E42" s="26" t="s">
        <v>152</v>
      </c>
      <c r="F42" s="26" t="s">
        <v>157</v>
      </c>
      <c r="G42" s="34">
        <f>15*12000*1090</f>
        <v>196200000</v>
      </c>
      <c r="H42" s="34">
        <v>187450000</v>
      </c>
      <c r="I42" s="28">
        <f t="shared" si="4"/>
        <v>8750000</v>
      </c>
      <c r="J42" s="121"/>
    </row>
    <row r="43" spans="1:13" s="30" customFormat="1" ht="17.25" customHeight="1">
      <c r="A43" s="19"/>
      <c r="B43" s="24"/>
      <c r="C43" s="24"/>
      <c r="D43" s="24"/>
      <c r="E43" s="26" t="s">
        <v>152</v>
      </c>
      <c r="F43" s="26" t="s">
        <v>158</v>
      </c>
      <c r="G43" s="34">
        <f>12000*25*600</f>
        <v>180000000</v>
      </c>
      <c r="H43" s="34">
        <v>179000000</v>
      </c>
      <c r="I43" s="28">
        <f t="shared" si="4"/>
        <v>1000000</v>
      </c>
      <c r="J43" s="121"/>
    </row>
    <row r="44" spans="1:13" s="30" customFormat="1" ht="17.25" customHeight="1">
      <c r="A44" s="19"/>
      <c r="B44" s="24"/>
      <c r="C44" s="24"/>
      <c r="D44" s="24"/>
      <c r="E44" s="26" t="s">
        <v>152</v>
      </c>
      <c r="F44" s="26" t="s">
        <v>159</v>
      </c>
      <c r="G44" s="34">
        <f>15*12000*1090</f>
        <v>196200000</v>
      </c>
      <c r="H44" s="34">
        <v>205000000</v>
      </c>
      <c r="I44" s="28">
        <f t="shared" si="4"/>
        <v>-8800000</v>
      </c>
      <c r="J44" s="121"/>
    </row>
    <row r="45" spans="1:13" s="30" customFormat="1" ht="17.25" customHeight="1">
      <c r="A45" s="19"/>
      <c r="B45" s="24"/>
      <c r="C45" s="24"/>
      <c r="D45" s="24"/>
      <c r="E45" s="26" t="s">
        <v>152</v>
      </c>
      <c r="F45" s="26" t="s">
        <v>160</v>
      </c>
      <c r="G45" s="34">
        <f>(360000-50000)*1090</f>
        <v>337900000</v>
      </c>
      <c r="H45" s="34">
        <v>275000000</v>
      </c>
      <c r="I45" s="28">
        <f t="shared" si="4"/>
        <v>62900000</v>
      </c>
      <c r="J45" s="121"/>
    </row>
    <row r="46" spans="1:13" s="30" customFormat="1" ht="17.25" customHeight="1">
      <c r="A46" s="19"/>
      <c r="B46" s="24"/>
      <c r="C46" s="24"/>
      <c r="D46" s="24"/>
      <c r="E46" s="26" t="s">
        <v>152</v>
      </c>
      <c r="F46" s="26" t="s">
        <v>161</v>
      </c>
      <c r="G46" s="34">
        <f>346000*1090</f>
        <v>377140000</v>
      </c>
      <c r="H46" s="34">
        <v>379320000</v>
      </c>
      <c r="I46" s="28">
        <f t="shared" si="4"/>
        <v>-2180000</v>
      </c>
      <c r="J46" s="121"/>
    </row>
    <row r="47" spans="1:13" s="30" customFormat="1" ht="17.25" customHeight="1">
      <c r="A47" s="19"/>
      <c r="B47" s="24"/>
      <c r="C47" s="24"/>
      <c r="D47" s="24"/>
      <c r="E47" s="26" t="s">
        <v>152</v>
      </c>
      <c r="F47" s="26" t="s">
        <v>162</v>
      </c>
      <c r="G47" s="34">
        <f>334000*1090</f>
        <v>364060000</v>
      </c>
      <c r="H47" s="34">
        <v>366240000</v>
      </c>
      <c r="I47" s="28">
        <f t="shared" si="4"/>
        <v>-2180000</v>
      </c>
      <c r="J47" s="121"/>
      <c r="L47" s="82"/>
      <c r="M47" s="82"/>
    </row>
    <row r="48" spans="1:13" s="30" customFormat="1" ht="17.25" customHeight="1">
      <c r="A48" s="19"/>
      <c r="B48" s="24"/>
      <c r="C48" s="24"/>
      <c r="D48" s="24"/>
      <c r="E48" s="26" t="s">
        <v>152</v>
      </c>
      <c r="F48" s="26" t="s">
        <v>163</v>
      </c>
      <c r="G48" s="34">
        <f>23*12000*1090</f>
        <v>300840000</v>
      </c>
      <c r="H48" s="34">
        <v>313920000</v>
      </c>
      <c r="I48" s="28">
        <f t="shared" si="4"/>
        <v>-13080000</v>
      </c>
      <c r="J48" s="121"/>
      <c r="M48" s="82"/>
    </row>
    <row r="49" spans="1:13" s="30" customFormat="1" ht="17.25" customHeight="1">
      <c r="A49" s="19"/>
      <c r="B49" s="24"/>
      <c r="C49" s="24"/>
      <c r="D49" s="24"/>
      <c r="E49" s="26" t="s">
        <v>152</v>
      </c>
      <c r="F49" s="26" t="s">
        <v>164</v>
      </c>
      <c r="G49" s="34">
        <f>12000*25*350</f>
        <v>105000000</v>
      </c>
      <c r="H49" s="34">
        <v>100000000</v>
      </c>
      <c r="I49" s="28">
        <f t="shared" si="4"/>
        <v>5000000</v>
      </c>
      <c r="J49" s="121"/>
      <c r="M49" s="82"/>
    </row>
    <row r="50" spans="1:13" s="30" customFormat="1" ht="17.25" customHeight="1">
      <c r="A50" s="19"/>
      <c r="B50" s="24"/>
      <c r="C50" s="24"/>
      <c r="D50" s="33"/>
      <c r="E50" s="26" t="s">
        <v>165</v>
      </c>
      <c r="F50" s="26" t="s">
        <v>166</v>
      </c>
      <c r="G50" s="34">
        <f>12000*5*722</f>
        <v>43320000</v>
      </c>
      <c r="H50" s="34">
        <v>92400000</v>
      </c>
      <c r="I50" s="28">
        <f t="shared" si="4"/>
        <v>-49080000</v>
      </c>
      <c r="J50" s="121"/>
      <c r="M50" s="82"/>
    </row>
    <row r="51" spans="1:13" s="30" customFormat="1" ht="17.25" customHeight="1">
      <c r="A51" s="19"/>
      <c r="B51" s="24"/>
      <c r="C51" s="24"/>
      <c r="D51" s="179" t="s">
        <v>151</v>
      </c>
      <c r="E51" s="175"/>
      <c r="F51" s="26"/>
      <c r="G51" s="45">
        <f>SUM(G52)</f>
        <v>0</v>
      </c>
      <c r="H51" s="45">
        <f t="shared" ref="H51:I51" si="20">SUM(H52)</f>
        <v>42500000</v>
      </c>
      <c r="I51" s="45">
        <f t="shared" si="20"/>
        <v>-42500000</v>
      </c>
      <c r="J51" s="120"/>
    </row>
    <row r="52" spans="1:13" s="30" customFormat="1" ht="17.25" customHeight="1">
      <c r="A52" s="19"/>
      <c r="B52" s="24"/>
      <c r="C52" s="24"/>
      <c r="D52" s="24"/>
      <c r="E52" s="33" t="s">
        <v>167</v>
      </c>
      <c r="F52" s="42" t="s">
        <v>167</v>
      </c>
      <c r="G52" s="83">
        <v>0</v>
      </c>
      <c r="H52" s="83">
        <v>42500000</v>
      </c>
      <c r="I52" s="28">
        <f t="shared" si="4"/>
        <v>-42500000</v>
      </c>
      <c r="J52" s="121"/>
      <c r="M52" s="82"/>
    </row>
    <row r="53" spans="1:13" s="30" customFormat="1" ht="17.25" customHeight="1">
      <c r="A53" s="19"/>
      <c r="B53" s="24"/>
      <c r="C53" s="24"/>
      <c r="D53" s="179" t="s">
        <v>151</v>
      </c>
      <c r="E53" s="175"/>
      <c r="F53" s="26"/>
      <c r="G53" s="45">
        <f>SUM(G54:G66)</f>
        <v>2960100000.3870964</v>
      </c>
      <c r="H53" s="45">
        <f t="shared" ref="H53:I53" si="21">SUM(H54:H66)</f>
        <v>2996200000</v>
      </c>
      <c r="I53" s="45">
        <f t="shared" si="21"/>
        <v>-36099999.612903237</v>
      </c>
      <c r="J53" s="120"/>
    </row>
    <row r="54" spans="1:13" s="30" customFormat="1" ht="17.25" customHeight="1">
      <c r="A54" s="19"/>
      <c r="B54" s="24"/>
      <c r="C54" s="24"/>
      <c r="D54" s="24"/>
      <c r="E54" s="33" t="s">
        <v>168</v>
      </c>
      <c r="F54" s="42" t="s">
        <v>169</v>
      </c>
      <c r="G54" s="46">
        <f>280000*1090</f>
        <v>305200000</v>
      </c>
      <c r="H54" s="46">
        <v>305200000</v>
      </c>
      <c r="I54" s="28">
        <f t="shared" si="4"/>
        <v>0</v>
      </c>
      <c r="J54" s="128"/>
      <c r="M54" s="82"/>
    </row>
    <row r="55" spans="1:13" s="30" customFormat="1" ht="17.25" customHeight="1">
      <c r="A55" s="19"/>
      <c r="B55" s="24"/>
      <c r="C55" s="24"/>
      <c r="D55" s="31"/>
      <c r="E55" s="33" t="s">
        <v>168</v>
      </c>
      <c r="F55" s="42" t="s">
        <v>170</v>
      </c>
      <c r="G55" s="46">
        <f t="shared" ref="G55:G63" si="22">280000*1090</f>
        <v>305200000</v>
      </c>
      <c r="H55" s="46">
        <v>306000000</v>
      </c>
      <c r="I55" s="28">
        <f t="shared" si="4"/>
        <v>-800000</v>
      </c>
      <c r="J55" s="128"/>
      <c r="L55" s="82"/>
      <c r="M55" s="82"/>
    </row>
    <row r="56" spans="1:13" s="30" customFormat="1" ht="17.25" customHeight="1">
      <c r="A56" s="19"/>
      <c r="B56" s="24"/>
      <c r="C56" s="24"/>
      <c r="D56" s="31"/>
      <c r="E56" s="33" t="s">
        <v>168</v>
      </c>
      <c r="F56" s="42" t="s">
        <v>171</v>
      </c>
      <c r="G56" s="46">
        <f t="shared" si="22"/>
        <v>305200000</v>
      </c>
      <c r="H56" s="46">
        <v>307000000</v>
      </c>
      <c r="I56" s="28">
        <f t="shared" si="4"/>
        <v>-1800000</v>
      </c>
      <c r="J56" s="128"/>
      <c r="L56" s="82"/>
      <c r="M56" s="82"/>
    </row>
    <row r="57" spans="1:13" s="30" customFormat="1" ht="17.25" customHeight="1">
      <c r="A57" s="19"/>
      <c r="B57" s="24"/>
      <c r="C57" s="24"/>
      <c r="D57" s="31"/>
      <c r="E57" s="33" t="s">
        <v>168</v>
      </c>
      <c r="F57" s="42" t="s">
        <v>172</v>
      </c>
      <c r="G57" s="46">
        <f t="shared" si="22"/>
        <v>305200000</v>
      </c>
      <c r="H57" s="46">
        <v>306000000</v>
      </c>
      <c r="I57" s="28">
        <f t="shared" si="4"/>
        <v>-800000</v>
      </c>
      <c r="J57" s="128"/>
      <c r="L57" s="82"/>
      <c r="M57" s="82"/>
    </row>
    <row r="58" spans="1:13" s="30" customFormat="1" ht="17.25" customHeight="1">
      <c r="A58" s="19"/>
      <c r="B58" s="24"/>
      <c r="C58" s="24"/>
      <c r="D58" s="31"/>
      <c r="E58" s="33" t="s">
        <v>168</v>
      </c>
      <c r="F58" s="42" t="s">
        <v>173</v>
      </c>
      <c r="G58" s="46">
        <f>(280000*1090*15/31)-77419</f>
        <v>147600000.3548387</v>
      </c>
      <c r="H58" s="46">
        <v>150000000</v>
      </c>
      <c r="I58" s="28">
        <f t="shared" si="4"/>
        <v>-2399999.6451613009</v>
      </c>
      <c r="J58" s="128"/>
      <c r="L58" s="82"/>
      <c r="M58" s="82"/>
    </row>
    <row r="59" spans="1:13" s="30" customFormat="1" ht="17.25" customHeight="1">
      <c r="A59" s="19"/>
      <c r="B59" s="24"/>
      <c r="C59" s="24"/>
      <c r="D59" s="31"/>
      <c r="E59" s="33" t="s">
        <v>168</v>
      </c>
      <c r="F59" s="42" t="s">
        <v>174</v>
      </c>
      <c r="G59" s="46">
        <f>280000*600</f>
        <v>168000000</v>
      </c>
      <c r="H59" s="46">
        <v>140000000</v>
      </c>
      <c r="I59" s="28">
        <f t="shared" si="4"/>
        <v>28000000</v>
      </c>
      <c r="J59" s="128"/>
      <c r="L59" s="82"/>
      <c r="M59" s="82"/>
    </row>
    <row r="60" spans="1:13" s="30" customFormat="1" ht="17.25" customHeight="1">
      <c r="A60" s="19"/>
      <c r="B60" s="24"/>
      <c r="C60" s="24"/>
      <c r="D60" s="31"/>
      <c r="E60" s="33" t="s">
        <v>168</v>
      </c>
      <c r="F60" s="42" t="s">
        <v>175</v>
      </c>
      <c r="G60" s="46">
        <f>(280000*1090*15/31)-77419</f>
        <v>147600000.3548387</v>
      </c>
      <c r="H60" s="46">
        <v>160000000</v>
      </c>
      <c r="I60" s="28">
        <f t="shared" si="4"/>
        <v>-12399999.645161301</v>
      </c>
      <c r="J60" s="128"/>
      <c r="M60" s="82"/>
    </row>
    <row r="61" spans="1:13" s="30" customFormat="1" ht="17.25" customHeight="1">
      <c r="A61" s="19"/>
      <c r="B61" s="24"/>
      <c r="C61" s="24"/>
      <c r="D61" s="31"/>
      <c r="E61" s="33" t="s">
        <v>168</v>
      </c>
      <c r="F61" s="42" t="s">
        <v>176</v>
      </c>
      <c r="G61" s="46">
        <f t="shared" si="22"/>
        <v>305200000</v>
      </c>
      <c r="H61" s="46">
        <v>307000000</v>
      </c>
      <c r="I61" s="28">
        <f t="shared" si="4"/>
        <v>-1800000</v>
      </c>
      <c r="J61" s="128"/>
      <c r="M61" s="82"/>
    </row>
    <row r="62" spans="1:13" s="30" customFormat="1" ht="17.25" customHeight="1">
      <c r="A62" s="19"/>
      <c r="B62" s="24"/>
      <c r="C62" s="24"/>
      <c r="D62" s="31"/>
      <c r="E62" s="33" t="s">
        <v>168</v>
      </c>
      <c r="F62" s="42" t="s">
        <v>177</v>
      </c>
      <c r="G62" s="46">
        <f t="shared" si="22"/>
        <v>305200000</v>
      </c>
      <c r="H62" s="46">
        <v>307000000</v>
      </c>
      <c r="I62" s="28">
        <f t="shared" ref="I62:I108" si="23">G62-H62</f>
        <v>-1800000</v>
      </c>
      <c r="J62" s="128"/>
      <c r="L62" s="82"/>
      <c r="M62" s="82"/>
    </row>
    <row r="63" spans="1:13" s="30" customFormat="1" ht="17.25" customHeight="1">
      <c r="A63" s="19"/>
      <c r="B63" s="24"/>
      <c r="C63" s="24"/>
      <c r="D63" s="31"/>
      <c r="E63" s="33" t="s">
        <v>168</v>
      </c>
      <c r="F63" s="42" t="s">
        <v>178</v>
      </c>
      <c r="G63" s="46">
        <f t="shared" si="22"/>
        <v>305200000</v>
      </c>
      <c r="H63" s="46">
        <v>307000000</v>
      </c>
      <c r="I63" s="28">
        <f t="shared" si="23"/>
        <v>-1800000</v>
      </c>
      <c r="J63" s="128"/>
      <c r="M63" s="84"/>
    </row>
    <row r="64" spans="1:13" s="30" customFormat="1" ht="17.25" customHeight="1">
      <c r="A64" s="19"/>
      <c r="B64" s="24"/>
      <c r="C64" s="24"/>
      <c r="D64" s="31"/>
      <c r="E64" s="33" t="s">
        <v>168</v>
      </c>
      <c r="F64" s="42" t="s">
        <v>179</v>
      </c>
      <c r="G64" s="46">
        <f>(280000*1090*23/31)-38710</f>
        <v>226399999.67741936</v>
      </c>
      <c r="H64" s="46">
        <v>242000000</v>
      </c>
      <c r="I64" s="28">
        <f t="shared" si="23"/>
        <v>-15600000.322580636</v>
      </c>
      <c r="J64" s="128"/>
      <c r="M64" s="84"/>
    </row>
    <row r="65" spans="1:13" s="30" customFormat="1" ht="17.25" customHeight="1">
      <c r="A65" s="19"/>
      <c r="B65" s="24"/>
      <c r="C65" s="24"/>
      <c r="D65" s="31"/>
      <c r="E65" s="33" t="s">
        <v>168</v>
      </c>
      <c r="F65" s="42" t="s">
        <v>180</v>
      </c>
      <c r="G65" s="46">
        <f>280000*350</f>
        <v>98000000</v>
      </c>
      <c r="H65" s="46">
        <v>80000000</v>
      </c>
      <c r="I65" s="28">
        <f t="shared" si="23"/>
        <v>18000000</v>
      </c>
      <c r="J65" s="128"/>
      <c r="M65" s="84"/>
    </row>
    <row r="66" spans="1:13" s="30" customFormat="1" ht="17.25" customHeight="1">
      <c r="A66" s="19"/>
      <c r="B66" s="24"/>
      <c r="C66" s="24"/>
      <c r="D66" s="42"/>
      <c r="E66" s="70" t="s">
        <v>181</v>
      </c>
      <c r="F66" s="42" t="s">
        <v>182</v>
      </c>
      <c r="G66" s="34">
        <f>50000*722</f>
        <v>36100000</v>
      </c>
      <c r="H66" s="46">
        <v>79000000</v>
      </c>
      <c r="I66" s="28">
        <f t="shared" si="23"/>
        <v>-42900000</v>
      </c>
      <c r="J66" s="128"/>
      <c r="M66" s="84"/>
    </row>
    <row r="67" spans="1:13" s="30" customFormat="1" ht="17.25" customHeight="1">
      <c r="A67" s="19"/>
      <c r="B67" s="24"/>
      <c r="C67" s="24"/>
      <c r="D67" s="179" t="s">
        <v>151</v>
      </c>
      <c r="E67" s="175"/>
      <c r="F67" s="26"/>
      <c r="G67" s="45">
        <f>SUM(G68)</f>
        <v>0</v>
      </c>
      <c r="H67" s="45">
        <f t="shared" ref="H67:I67" si="24">SUM(H68)</f>
        <v>16900000</v>
      </c>
      <c r="I67" s="45">
        <f t="shared" si="24"/>
        <v>-16900000</v>
      </c>
      <c r="J67" s="120"/>
    </row>
    <row r="68" spans="1:13" s="30" customFormat="1" ht="17.25" customHeight="1">
      <c r="A68" s="19"/>
      <c r="B68" s="24"/>
      <c r="C68" s="31"/>
      <c r="D68" s="26"/>
      <c r="E68" s="70" t="s">
        <v>183</v>
      </c>
      <c r="F68" s="42" t="s">
        <v>183</v>
      </c>
      <c r="G68" s="46">
        <v>0</v>
      </c>
      <c r="H68" s="46">
        <v>16900000</v>
      </c>
      <c r="I68" s="28">
        <f t="shared" si="23"/>
        <v>-16900000</v>
      </c>
      <c r="J68" s="128"/>
      <c r="M68" s="84"/>
    </row>
    <row r="69" spans="1:13" s="30" customFormat="1" ht="17.25" customHeight="1">
      <c r="A69" s="19"/>
      <c r="B69" s="24"/>
      <c r="C69" s="31"/>
      <c r="D69" s="175" t="s">
        <v>184</v>
      </c>
      <c r="E69" s="175"/>
      <c r="F69" s="26"/>
      <c r="G69" s="27">
        <f>SUM(G70:G72)</f>
        <v>189750000</v>
      </c>
      <c r="H69" s="27">
        <f t="shared" ref="H69:I69" si="25">SUM(H70:H72)</f>
        <v>194000000</v>
      </c>
      <c r="I69" s="27">
        <f t="shared" si="25"/>
        <v>-4250000</v>
      </c>
      <c r="J69" s="120"/>
    </row>
    <row r="70" spans="1:13" s="30" customFormat="1" ht="17.25" customHeight="1">
      <c r="A70" s="19"/>
      <c r="B70" s="24"/>
      <c r="C70" s="31"/>
      <c r="D70" s="32"/>
      <c r="E70" s="26" t="s">
        <v>185</v>
      </c>
      <c r="F70" s="26" t="s">
        <v>186</v>
      </c>
      <c r="G70" s="27">
        <v>127750000</v>
      </c>
      <c r="H70" s="27">
        <v>140000000</v>
      </c>
      <c r="I70" s="28">
        <f t="shared" si="23"/>
        <v>-12250000</v>
      </c>
      <c r="J70" s="120"/>
    </row>
    <row r="71" spans="1:13" s="30" customFormat="1" ht="17.25" customHeight="1">
      <c r="A71" s="19"/>
      <c r="B71" s="24"/>
      <c r="C71" s="24"/>
      <c r="D71" s="42"/>
      <c r="E71" s="26" t="s">
        <v>23</v>
      </c>
      <c r="F71" s="26" t="s">
        <v>646</v>
      </c>
      <c r="G71" s="27">
        <v>8000000</v>
      </c>
      <c r="H71" s="27">
        <v>0</v>
      </c>
      <c r="I71" s="28">
        <f t="shared" si="23"/>
        <v>8000000</v>
      </c>
      <c r="J71" s="120" t="s">
        <v>647</v>
      </c>
    </row>
    <row r="72" spans="1:13" s="30" customFormat="1" ht="18" customHeight="1">
      <c r="A72" s="19"/>
      <c r="B72" s="24"/>
      <c r="C72" s="31"/>
      <c r="D72" s="32"/>
      <c r="E72" s="26" t="s">
        <v>187</v>
      </c>
      <c r="F72" s="26" t="s">
        <v>188</v>
      </c>
      <c r="G72" s="34">
        <v>54000000</v>
      </c>
      <c r="H72" s="34">
        <v>54000000</v>
      </c>
      <c r="I72" s="28">
        <f t="shared" si="23"/>
        <v>0</v>
      </c>
      <c r="J72" s="52" t="s">
        <v>648</v>
      </c>
    </row>
    <row r="73" spans="1:13" s="30" customFormat="1" ht="18" customHeight="1">
      <c r="A73" s="19"/>
      <c r="B73" s="24"/>
      <c r="C73" s="31"/>
      <c r="D73" s="175" t="s">
        <v>184</v>
      </c>
      <c r="E73" s="175"/>
      <c r="F73" s="26"/>
      <c r="G73" s="27">
        <f>SUM(G74:G77)</f>
        <v>1000000000</v>
      </c>
      <c r="H73" s="27">
        <f t="shared" ref="H73:I73" si="26">SUM(H74:H77)</f>
        <v>1086500000</v>
      </c>
      <c r="I73" s="27">
        <f t="shared" si="26"/>
        <v>-86500000</v>
      </c>
      <c r="J73" s="120"/>
    </row>
    <row r="74" spans="1:13" s="30" customFormat="1" ht="18" customHeight="1">
      <c r="A74" s="19"/>
      <c r="B74" s="24"/>
      <c r="C74" s="31"/>
      <c r="D74" s="32"/>
      <c r="E74" s="26" t="s">
        <v>189</v>
      </c>
      <c r="F74" s="26" t="s">
        <v>190</v>
      </c>
      <c r="G74" s="34">
        <v>420000000</v>
      </c>
      <c r="H74" s="34">
        <v>490500000</v>
      </c>
      <c r="I74" s="28">
        <f t="shared" si="23"/>
        <v>-70500000</v>
      </c>
      <c r="J74" s="52"/>
    </row>
    <row r="75" spans="1:13" s="30" customFormat="1" ht="18" customHeight="1">
      <c r="A75" s="19"/>
      <c r="B75" s="24"/>
      <c r="C75" s="31"/>
      <c r="D75" s="32"/>
      <c r="E75" s="26" t="s">
        <v>189</v>
      </c>
      <c r="F75" s="26" t="s">
        <v>191</v>
      </c>
      <c r="G75" s="34">
        <v>150000000</v>
      </c>
      <c r="H75" s="34">
        <v>100000000</v>
      </c>
      <c r="I75" s="28">
        <f t="shared" si="23"/>
        <v>50000000</v>
      </c>
      <c r="J75" s="52"/>
    </row>
    <row r="76" spans="1:13" s="30" customFormat="1" ht="18" customHeight="1">
      <c r="A76" s="19"/>
      <c r="B76" s="24"/>
      <c r="C76" s="31"/>
      <c r="D76" s="32"/>
      <c r="E76" s="26" t="s">
        <v>189</v>
      </c>
      <c r="F76" s="26" t="s">
        <v>192</v>
      </c>
      <c r="G76" s="34">
        <v>370000000</v>
      </c>
      <c r="H76" s="34">
        <v>436000000</v>
      </c>
      <c r="I76" s="28">
        <f t="shared" si="23"/>
        <v>-66000000</v>
      </c>
      <c r="J76" s="52"/>
    </row>
    <row r="77" spans="1:13" s="30" customFormat="1" ht="18" customHeight="1">
      <c r="A77" s="19"/>
      <c r="B77" s="24"/>
      <c r="C77" s="31"/>
      <c r="D77" s="32"/>
      <c r="E77" s="26" t="s">
        <v>189</v>
      </c>
      <c r="F77" s="26" t="s">
        <v>193</v>
      </c>
      <c r="G77" s="34">
        <v>60000000</v>
      </c>
      <c r="H77" s="34">
        <v>60000000</v>
      </c>
      <c r="I77" s="28">
        <f t="shared" si="23"/>
        <v>0</v>
      </c>
      <c r="J77" s="52"/>
    </row>
    <row r="78" spans="1:13" s="30" customFormat="1" ht="18" customHeight="1">
      <c r="A78" s="19"/>
      <c r="B78" s="24"/>
      <c r="C78" s="25"/>
      <c r="D78" s="175" t="s">
        <v>184</v>
      </c>
      <c r="E78" s="175"/>
      <c r="F78" s="26"/>
      <c r="G78" s="27">
        <f>SUM(G79)</f>
        <v>0</v>
      </c>
      <c r="H78" s="27">
        <f t="shared" ref="H78:I78" si="27">SUM(H79)</f>
        <v>12830000</v>
      </c>
      <c r="I78" s="27">
        <f t="shared" si="27"/>
        <v>-12830000</v>
      </c>
      <c r="J78" s="120"/>
    </row>
    <row r="79" spans="1:13" s="30" customFormat="1" ht="18" customHeight="1">
      <c r="A79" s="19"/>
      <c r="B79" s="24"/>
      <c r="C79" s="24"/>
      <c r="D79" s="26"/>
      <c r="E79" s="81" t="s">
        <v>194</v>
      </c>
      <c r="F79" s="26" t="s">
        <v>194</v>
      </c>
      <c r="G79" s="34">
        <v>0</v>
      </c>
      <c r="H79" s="34">
        <v>12830000</v>
      </c>
      <c r="I79" s="28">
        <f t="shared" si="23"/>
        <v>-12830000</v>
      </c>
      <c r="J79" s="52"/>
    </row>
    <row r="80" spans="1:13" s="30" customFormat="1" ht="18" customHeight="1">
      <c r="A80" s="19"/>
      <c r="B80" s="24"/>
      <c r="C80" s="31"/>
      <c r="D80" s="175" t="s">
        <v>195</v>
      </c>
      <c r="E80" s="175"/>
      <c r="F80" s="26"/>
      <c r="G80" s="27">
        <f>SUM(G81:G82)</f>
        <v>68920000</v>
      </c>
      <c r="H80" s="27">
        <f t="shared" ref="H80:I80" si="28">SUM(H81:H82)</f>
        <v>68700000</v>
      </c>
      <c r="I80" s="27">
        <f t="shared" si="28"/>
        <v>220000</v>
      </c>
      <c r="J80" s="120"/>
    </row>
    <row r="81" spans="1:10" s="30" customFormat="1" ht="18" customHeight="1">
      <c r="A81" s="19"/>
      <c r="B81" s="24"/>
      <c r="C81" s="31"/>
      <c r="D81" s="32"/>
      <c r="E81" s="36" t="s">
        <v>196</v>
      </c>
      <c r="F81" s="34" t="s">
        <v>196</v>
      </c>
      <c r="G81" s="34">
        <f>65000*368</f>
        <v>23920000</v>
      </c>
      <c r="H81" s="34">
        <v>23700000</v>
      </c>
      <c r="I81" s="28">
        <f t="shared" si="23"/>
        <v>220000</v>
      </c>
      <c r="J81" s="120"/>
    </row>
    <row r="82" spans="1:10" s="30" customFormat="1" ht="18.75" customHeight="1">
      <c r="A82" s="19"/>
      <c r="B82" s="24"/>
      <c r="C82" s="31"/>
      <c r="D82" s="32"/>
      <c r="E82" s="36" t="s">
        <v>197</v>
      </c>
      <c r="F82" s="36" t="s">
        <v>197</v>
      </c>
      <c r="G82" s="34">
        <v>45000000</v>
      </c>
      <c r="H82" s="34">
        <v>45000000</v>
      </c>
      <c r="I82" s="28">
        <f t="shared" si="23"/>
        <v>0</v>
      </c>
      <c r="J82" s="120"/>
    </row>
    <row r="83" spans="1:10" s="30" customFormat="1" ht="18.75" customHeight="1">
      <c r="A83" s="19"/>
      <c r="B83" s="176" t="s">
        <v>198</v>
      </c>
      <c r="C83" s="177"/>
      <c r="D83" s="177"/>
      <c r="E83" s="177"/>
      <c r="F83" s="16"/>
      <c r="G83" s="53">
        <f>G84</f>
        <v>353200000</v>
      </c>
      <c r="H83" s="53">
        <f t="shared" ref="H83:I83" si="29">H84</f>
        <v>351639000</v>
      </c>
      <c r="I83" s="53">
        <f t="shared" si="29"/>
        <v>1561000</v>
      </c>
      <c r="J83" s="118"/>
    </row>
    <row r="84" spans="1:10" s="30" customFormat="1" ht="18.75" customHeight="1">
      <c r="A84" s="19"/>
      <c r="B84" s="24"/>
      <c r="C84" s="161" t="s">
        <v>199</v>
      </c>
      <c r="D84" s="162"/>
      <c r="E84" s="162"/>
      <c r="F84" s="43"/>
      <c r="G84" s="44">
        <f>G85+G88+G90</f>
        <v>353200000</v>
      </c>
      <c r="H84" s="44">
        <f t="shared" ref="H84:I84" si="30">H85+H88+H90</f>
        <v>351639000</v>
      </c>
      <c r="I84" s="44">
        <f t="shared" si="30"/>
        <v>1561000</v>
      </c>
      <c r="J84" s="119"/>
    </row>
    <row r="85" spans="1:10" s="30" customFormat="1" ht="18.75" customHeight="1">
      <c r="A85" s="19"/>
      <c r="B85" s="24"/>
      <c r="C85" s="25"/>
      <c r="D85" s="179" t="s">
        <v>200</v>
      </c>
      <c r="E85" s="175"/>
      <c r="F85" s="48"/>
      <c r="G85" s="54">
        <f>SUM(G86:G87)</f>
        <v>81000000</v>
      </c>
      <c r="H85" s="54">
        <f t="shared" ref="H85:I85" si="31">SUM(H86:H87)</f>
        <v>59300000</v>
      </c>
      <c r="I85" s="54">
        <f t="shared" si="31"/>
        <v>21700000</v>
      </c>
      <c r="J85" s="69"/>
    </row>
    <row r="86" spans="1:10" s="30" customFormat="1" ht="18.75" customHeight="1">
      <c r="A86" s="19"/>
      <c r="B86" s="24"/>
      <c r="C86" s="31"/>
      <c r="D86" s="51"/>
      <c r="E86" s="71" t="s">
        <v>201</v>
      </c>
      <c r="F86" s="48" t="s">
        <v>202</v>
      </c>
      <c r="G86" s="54">
        <v>70000000</v>
      </c>
      <c r="H86" s="54">
        <v>50000000</v>
      </c>
      <c r="I86" s="28">
        <f t="shared" si="23"/>
        <v>20000000</v>
      </c>
      <c r="J86" s="69"/>
    </row>
    <row r="87" spans="1:10" s="30" customFormat="1" ht="18.75" customHeight="1">
      <c r="A87" s="19"/>
      <c r="B87" s="24"/>
      <c r="C87" s="31"/>
      <c r="D87" s="132"/>
      <c r="E87" s="71" t="s">
        <v>201</v>
      </c>
      <c r="F87" s="48" t="s">
        <v>203</v>
      </c>
      <c r="G87" s="54">
        <v>11000000</v>
      </c>
      <c r="H87" s="54">
        <v>9300000</v>
      </c>
      <c r="I87" s="28">
        <f t="shared" si="23"/>
        <v>1700000</v>
      </c>
      <c r="J87" s="69" t="s">
        <v>204</v>
      </c>
    </row>
    <row r="88" spans="1:10" s="30" customFormat="1" ht="18.75" customHeight="1">
      <c r="A88" s="19"/>
      <c r="B88" s="24"/>
      <c r="C88" s="31"/>
      <c r="D88" s="179" t="s">
        <v>200</v>
      </c>
      <c r="E88" s="175"/>
      <c r="F88" s="48"/>
      <c r="G88" s="54">
        <f>SUM(G89)</f>
        <v>200000</v>
      </c>
      <c r="H88" s="54">
        <f t="shared" ref="H88:I88" si="32">SUM(H89)</f>
        <v>339000</v>
      </c>
      <c r="I88" s="54">
        <f t="shared" si="32"/>
        <v>-139000</v>
      </c>
      <c r="J88" s="69"/>
    </row>
    <row r="89" spans="1:10" s="30" customFormat="1" ht="18.75" customHeight="1">
      <c r="A89" s="19"/>
      <c r="B89" s="24"/>
      <c r="C89" s="31"/>
      <c r="D89" s="132"/>
      <c r="E89" s="71" t="s">
        <v>205</v>
      </c>
      <c r="F89" s="48" t="s">
        <v>205</v>
      </c>
      <c r="G89" s="54">
        <v>200000</v>
      </c>
      <c r="H89" s="54">
        <v>339000</v>
      </c>
      <c r="I89" s="28">
        <f t="shared" si="23"/>
        <v>-139000</v>
      </c>
      <c r="J89" s="69"/>
    </row>
    <row r="90" spans="1:10" s="30" customFormat="1" ht="18.75" customHeight="1">
      <c r="A90" s="19"/>
      <c r="B90" s="24"/>
      <c r="C90" s="31"/>
      <c r="D90" s="179" t="s">
        <v>200</v>
      </c>
      <c r="E90" s="175"/>
      <c r="F90" s="48"/>
      <c r="G90" s="54">
        <f>SUM(G91:G93)</f>
        <v>272000000</v>
      </c>
      <c r="H90" s="54">
        <f t="shared" ref="H90:I90" si="33">SUM(H91:H93)</f>
        <v>292000000</v>
      </c>
      <c r="I90" s="54">
        <f t="shared" si="33"/>
        <v>-20000000</v>
      </c>
      <c r="J90" s="69"/>
    </row>
    <row r="91" spans="1:10" s="30" customFormat="1" ht="18.75" customHeight="1">
      <c r="A91" s="19"/>
      <c r="B91" s="24"/>
      <c r="C91" s="31"/>
      <c r="D91" s="132"/>
      <c r="E91" s="71" t="s">
        <v>206</v>
      </c>
      <c r="F91" s="48" t="s">
        <v>207</v>
      </c>
      <c r="G91" s="54">
        <v>230000000</v>
      </c>
      <c r="H91" s="54">
        <v>230000000</v>
      </c>
      <c r="I91" s="28">
        <f t="shared" si="23"/>
        <v>0</v>
      </c>
      <c r="J91" s="69"/>
    </row>
    <row r="92" spans="1:10" s="30" customFormat="1" ht="18.75" customHeight="1">
      <c r="A92" s="19"/>
      <c r="B92" s="24"/>
      <c r="C92" s="31"/>
      <c r="D92" s="24"/>
      <c r="E92" s="26" t="s">
        <v>206</v>
      </c>
      <c r="F92" s="26" t="s">
        <v>208</v>
      </c>
      <c r="G92" s="27">
        <v>12000000</v>
      </c>
      <c r="H92" s="27">
        <v>12000000</v>
      </c>
      <c r="I92" s="28">
        <f t="shared" si="23"/>
        <v>0</v>
      </c>
      <c r="J92" s="120"/>
    </row>
    <row r="93" spans="1:10" s="30" customFormat="1" ht="18.75" customHeight="1">
      <c r="A93" s="19"/>
      <c r="B93" s="24"/>
      <c r="C93" s="42"/>
      <c r="D93" s="70"/>
      <c r="E93" s="26" t="s">
        <v>206</v>
      </c>
      <c r="F93" s="26" t="s">
        <v>209</v>
      </c>
      <c r="G93" s="27">
        <v>30000000</v>
      </c>
      <c r="H93" s="27">
        <v>50000000</v>
      </c>
      <c r="I93" s="28">
        <f t="shared" si="23"/>
        <v>-20000000</v>
      </c>
      <c r="J93" s="120"/>
    </row>
    <row r="94" spans="1:10" s="30" customFormat="1" ht="18" customHeight="1">
      <c r="A94" s="15"/>
      <c r="B94" s="176" t="s">
        <v>210</v>
      </c>
      <c r="C94" s="177"/>
      <c r="D94" s="177"/>
      <c r="E94" s="177"/>
      <c r="F94" s="16"/>
      <c r="G94" s="53">
        <f>G95</f>
        <v>188700000</v>
      </c>
      <c r="H94" s="53">
        <f t="shared" ref="H94:I94" si="34">H95</f>
        <v>133000000</v>
      </c>
      <c r="I94" s="53">
        <f t="shared" si="34"/>
        <v>55700000</v>
      </c>
      <c r="J94" s="118"/>
    </row>
    <row r="95" spans="1:10" s="30" customFormat="1" ht="18" customHeight="1">
      <c r="A95" s="15"/>
      <c r="B95" s="32"/>
      <c r="C95" s="161" t="s">
        <v>211</v>
      </c>
      <c r="D95" s="162"/>
      <c r="E95" s="162"/>
      <c r="F95" s="43"/>
      <c r="G95" s="44">
        <f>G96</f>
        <v>188700000</v>
      </c>
      <c r="H95" s="44">
        <f>H96</f>
        <v>133000000</v>
      </c>
      <c r="I95" s="44">
        <f>I96</f>
        <v>55700000</v>
      </c>
      <c r="J95" s="119"/>
    </row>
    <row r="96" spans="1:10" s="30" customFormat="1" ht="18" customHeight="1">
      <c r="A96" s="15"/>
      <c r="B96" s="32"/>
      <c r="C96" s="24"/>
      <c r="D96" s="181" t="s">
        <v>212</v>
      </c>
      <c r="E96" s="182"/>
      <c r="F96" s="42"/>
      <c r="G96" s="50">
        <f>SUM(G97:G98)</f>
        <v>188700000</v>
      </c>
      <c r="H96" s="50">
        <f t="shared" ref="H96:I96" si="35">SUM(H97:H98)</f>
        <v>133000000</v>
      </c>
      <c r="I96" s="50">
        <f t="shared" si="35"/>
        <v>55700000</v>
      </c>
      <c r="J96" s="122"/>
    </row>
    <row r="97" spans="1:10" s="30" customFormat="1" ht="18" customHeight="1">
      <c r="A97" s="15"/>
      <c r="B97" s="32"/>
      <c r="C97" s="24"/>
      <c r="D97" s="85"/>
      <c r="E97" s="85" t="s">
        <v>213</v>
      </c>
      <c r="F97" s="31" t="s">
        <v>236</v>
      </c>
      <c r="G97" s="86">
        <v>185700000</v>
      </c>
      <c r="H97" s="86">
        <v>125700000</v>
      </c>
      <c r="I97" s="28">
        <f t="shared" si="23"/>
        <v>60000000</v>
      </c>
      <c r="J97" s="129"/>
    </row>
    <row r="98" spans="1:10" s="30" customFormat="1" ht="18" customHeight="1">
      <c r="A98" s="15"/>
      <c r="B98" s="32"/>
      <c r="C98" s="24"/>
      <c r="D98" s="42"/>
      <c r="E98" s="26" t="s">
        <v>214</v>
      </c>
      <c r="F98" s="26" t="s">
        <v>215</v>
      </c>
      <c r="G98" s="49">
        <v>3000000</v>
      </c>
      <c r="H98" s="49">
        <v>7300000</v>
      </c>
      <c r="I98" s="28">
        <f t="shared" si="23"/>
        <v>-4300000</v>
      </c>
      <c r="J98" s="69"/>
    </row>
    <row r="99" spans="1:10" s="30" customFormat="1" ht="18" customHeight="1">
      <c r="A99" s="15"/>
      <c r="B99" s="176" t="s">
        <v>216</v>
      </c>
      <c r="C99" s="177"/>
      <c r="D99" s="177"/>
      <c r="E99" s="178"/>
      <c r="F99" s="16"/>
      <c r="G99" s="53">
        <f>G100</f>
        <v>84500000</v>
      </c>
      <c r="H99" s="53">
        <f t="shared" ref="H99:I99" si="36">H100</f>
        <v>98100000</v>
      </c>
      <c r="I99" s="53">
        <f t="shared" si="36"/>
        <v>-13600000</v>
      </c>
      <c r="J99" s="118"/>
    </row>
    <row r="100" spans="1:10" s="30" customFormat="1" ht="18" customHeight="1">
      <c r="A100" s="15"/>
      <c r="B100" s="32"/>
      <c r="C100" s="161" t="s">
        <v>216</v>
      </c>
      <c r="D100" s="162"/>
      <c r="E100" s="183"/>
      <c r="F100" s="43"/>
      <c r="G100" s="44">
        <f>G101</f>
        <v>84500000</v>
      </c>
      <c r="H100" s="44">
        <f t="shared" ref="H100:I100" si="37">H101</f>
        <v>98100000</v>
      </c>
      <c r="I100" s="44">
        <f t="shared" si="37"/>
        <v>-13600000</v>
      </c>
      <c r="J100" s="119"/>
    </row>
    <row r="101" spans="1:10" s="30" customFormat="1" ht="18" customHeight="1">
      <c r="A101" s="15"/>
      <c r="B101" s="32"/>
      <c r="C101" s="24"/>
      <c r="D101" s="179" t="s">
        <v>216</v>
      </c>
      <c r="E101" s="180"/>
      <c r="F101" s="42"/>
      <c r="G101" s="50">
        <f>SUM(G102:G104)</f>
        <v>84500000</v>
      </c>
      <c r="H101" s="50">
        <f t="shared" ref="H101:I101" si="38">SUM(H102:H104)</f>
        <v>98100000</v>
      </c>
      <c r="I101" s="50">
        <f t="shared" si="38"/>
        <v>-13600000</v>
      </c>
      <c r="J101" s="122"/>
    </row>
    <row r="102" spans="1:10" s="30" customFormat="1" ht="18" customHeight="1">
      <c r="A102" s="15"/>
      <c r="B102" s="32"/>
      <c r="C102" s="24"/>
      <c r="D102" s="24"/>
      <c r="E102" s="48" t="s">
        <v>217</v>
      </c>
      <c r="F102" s="49" t="s">
        <v>218</v>
      </c>
      <c r="G102" s="49">
        <v>60000000</v>
      </c>
      <c r="H102" s="49">
        <v>64500000</v>
      </c>
      <c r="I102" s="28">
        <f t="shared" si="23"/>
        <v>-4500000</v>
      </c>
      <c r="J102" s="69"/>
    </row>
    <row r="103" spans="1:10" s="30" customFormat="1" ht="18" customHeight="1">
      <c r="A103" s="15"/>
      <c r="B103" s="32"/>
      <c r="C103" s="24"/>
      <c r="D103" s="24"/>
      <c r="E103" s="48" t="s">
        <v>219</v>
      </c>
      <c r="F103" s="49" t="s">
        <v>220</v>
      </c>
      <c r="G103" s="49">
        <v>12000000</v>
      </c>
      <c r="H103" s="49">
        <v>12000000</v>
      </c>
      <c r="I103" s="28">
        <f t="shared" si="23"/>
        <v>0</v>
      </c>
      <c r="J103" s="69"/>
    </row>
    <row r="104" spans="1:10" s="30" customFormat="1" ht="18" customHeight="1">
      <c r="A104" s="15"/>
      <c r="B104" s="32"/>
      <c r="C104" s="24"/>
      <c r="D104" s="24"/>
      <c r="E104" s="48" t="s">
        <v>221</v>
      </c>
      <c r="F104" s="49" t="s">
        <v>221</v>
      </c>
      <c r="G104" s="49">
        <v>12500000</v>
      </c>
      <c r="H104" s="49">
        <v>21600000</v>
      </c>
      <c r="I104" s="28">
        <f t="shared" si="23"/>
        <v>-9100000</v>
      </c>
      <c r="J104" s="69" t="s">
        <v>237</v>
      </c>
    </row>
    <row r="105" spans="1:10" s="30" customFormat="1" ht="18" customHeight="1">
      <c r="A105" s="15"/>
      <c r="B105" s="176" t="s">
        <v>222</v>
      </c>
      <c r="C105" s="177"/>
      <c r="D105" s="177"/>
      <c r="E105" s="177"/>
      <c r="F105" s="16"/>
      <c r="G105" s="53">
        <f>G106</f>
        <v>2000000</v>
      </c>
      <c r="H105" s="53">
        <f t="shared" ref="H105:I105" si="39">H106</f>
        <v>22100000</v>
      </c>
      <c r="I105" s="53">
        <f t="shared" si="39"/>
        <v>-20100000</v>
      </c>
      <c r="J105" s="118"/>
    </row>
    <row r="106" spans="1:10" s="30" customFormat="1" ht="18" customHeight="1">
      <c r="A106" s="15"/>
      <c r="B106" s="32"/>
      <c r="C106" s="161" t="s">
        <v>222</v>
      </c>
      <c r="D106" s="162"/>
      <c r="E106" s="162"/>
      <c r="F106" s="43"/>
      <c r="G106" s="44">
        <f>G107</f>
        <v>2000000</v>
      </c>
      <c r="H106" s="44">
        <f t="shared" ref="H106:I106" si="40">H107</f>
        <v>22100000</v>
      </c>
      <c r="I106" s="44">
        <f t="shared" si="40"/>
        <v>-20100000</v>
      </c>
      <c r="J106" s="119"/>
    </row>
    <row r="107" spans="1:10" s="30" customFormat="1" ht="18" customHeight="1">
      <c r="A107" s="15"/>
      <c r="B107" s="32"/>
      <c r="C107" s="24"/>
      <c r="D107" s="179" t="s">
        <v>223</v>
      </c>
      <c r="E107" s="175"/>
      <c r="F107" s="26"/>
      <c r="G107" s="45">
        <f>SUM(G108:G110)</f>
        <v>2000000</v>
      </c>
      <c r="H107" s="45">
        <f t="shared" ref="H107:I107" si="41">SUM(H108:H110)</f>
        <v>22100000</v>
      </c>
      <c r="I107" s="45">
        <f t="shared" si="41"/>
        <v>-20100000</v>
      </c>
      <c r="J107" s="120"/>
    </row>
    <row r="108" spans="1:10" s="30" customFormat="1" ht="18" customHeight="1">
      <c r="A108" s="15"/>
      <c r="B108" s="32"/>
      <c r="C108" s="24"/>
      <c r="D108" s="24"/>
      <c r="E108" s="24" t="s">
        <v>224</v>
      </c>
      <c r="F108" s="31" t="s">
        <v>225</v>
      </c>
      <c r="G108" s="87">
        <v>1800000</v>
      </c>
      <c r="H108" s="87">
        <v>1800000</v>
      </c>
      <c r="I108" s="28">
        <f t="shared" si="23"/>
        <v>0</v>
      </c>
      <c r="J108" s="129"/>
    </row>
    <row r="109" spans="1:10" s="30" customFormat="1" ht="18" customHeight="1">
      <c r="A109" s="15"/>
      <c r="B109" s="32"/>
      <c r="C109" s="24"/>
      <c r="D109" s="31"/>
      <c r="E109" s="35" t="s">
        <v>223</v>
      </c>
      <c r="F109" s="26" t="s">
        <v>226</v>
      </c>
      <c r="G109" s="27">
        <v>200000</v>
      </c>
      <c r="H109" s="27">
        <v>300000</v>
      </c>
      <c r="I109" s="28">
        <f t="shared" ref="I109:I115" si="42">G109-H109</f>
        <v>-100000</v>
      </c>
      <c r="J109" s="120"/>
    </row>
    <row r="110" spans="1:10" s="30" customFormat="1" ht="18" customHeight="1">
      <c r="A110" s="15"/>
      <c r="B110" s="32"/>
      <c r="C110" s="33"/>
      <c r="D110" s="33"/>
      <c r="E110" s="35" t="s">
        <v>223</v>
      </c>
      <c r="F110" s="26" t="s">
        <v>227</v>
      </c>
      <c r="G110" s="27">
        <v>0</v>
      </c>
      <c r="H110" s="27">
        <v>20000000</v>
      </c>
      <c r="I110" s="28">
        <f t="shared" si="42"/>
        <v>-20000000</v>
      </c>
      <c r="J110" s="120" t="s">
        <v>228</v>
      </c>
    </row>
    <row r="111" spans="1:10" ht="18" customHeight="1">
      <c r="A111" s="169" t="s">
        <v>229</v>
      </c>
      <c r="B111" s="170"/>
      <c r="C111" s="170"/>
      <c r="D111" s="170"/>
      <c r="E111" s="171"/>
      <c r="F111" s="13"/>
      <c r="G111" s="14">
        <f>G112+G177+G192+G200+G206</f>
        <v>500000000</v>
      </c>
      <c r="H111" s="14">
        <f>H112+H177+H192+H200+H206</f>
        <v>899700000</v>
      </c>
      <c r="I111" s="58">
        <f t="shared" si="42"/>
        <v>-399700000</v>
      </c>
      <c r="J111" s="117"/>
    </row>
    <row r="112" spans="1:10" ht="18" customHeight="1">
      <c r="A112" s="15"/>
      <c r="B112" s="172" t="s">
        <v>230</v>
      </c>
      <c r="C112" s="173"/>
      <c r="D112" s="173"/>
      <c r="E112" s="174"/>
      <c r="F112" s="16"/>
      <c r="G112" s="17">
        <f>G113+G129+G155+G158+G161+G164+G171+G174</f>
        <v>500000000</v>
      </c>
      <c r="H112" s="17">
        <f>H113+H129+H155+H161+H164+H171+H174</f>
        <v>899700000</v>
      </c>
      <c r="I112" s="18">
        <f t="shared" si="42"/>
        <v>-399700000</v>
      </c>
      <c r="J112" s="118"/>
    </row>
    <row r="113" spans="1:10" ht="18" customHeight="1">
      <c r="A113" s="19"/>
      <c r="B113" s="20"/>
      <c r="C113" s="161" t="s">
        <v>231</v>
      </c>
      <c r="D113" s="162"/>
      <c r="E113" s="162"/>
      <c r="F113" s="21"/>
      <c r="G113" s="22">
        <f>G114</f>
        <v>500000000</v>
      </c>
      <c r="H113" s="22">
        <f t="shared" ref="H113:I113" si="43">H114</f>
        <v>899700000</v>
      </c>
      <c r="I113" s="22">
        <f t="shared" si="43"/>
        <v>-399700000</v>
      </c>
      <c r="J113" s="119"/>
    </row>
    <row r="114" spans="1:10" s="30" customFormat="1" ht="18" customHeight="1">
      <c r="A114" s="19"/>
      <c r="B114" s="24"/>
      <c r="C114" s="25"/>
      <c r="D114" s="175" t="s">
        <v>232</v>
      </c>
      <c r="E114" s="175"/>
      <c r="F114" s="26"/>
      <c r="G114" s="27">
        <f>SUM(G115)</f>
        <v>500000000</v>
      </c>
      <c r="H114" s="27">
        <f t="shared" ref="H114:I114" si="44">SUM(H115)</f>
        <v>899700000</v>
      </c>
      <c r="I114" s="27">
        <f t="shared" si="44"/>
        <v>-399700000</v>
      </c>
      <c r="J114" s="120"/>
    </row>
    <row r="115" spans="1:10" s="30" customFormat="1" ht="18" customHeight="1">
      <c r="A115" s="88"/>
      <c r="B115" s="73"/>
      <c r="C115" s="89"/>
      <c r="D115" s="72"/>
      <c r="E115" s="73" t="s">
        <v>233</v>
      </c>
      <c r="F115" s="74" t="s">
        <v>234</v>
      </c>
      <c r="G115" s="90">
        <v>500000000</v>
      </c>
      <c r="H115" s="90">
        <v>899700000</v>
      </c>
      <c r="I115" s="76">
        <f t="shared" si="42"/>
        <v>-399700000</v>
      </c>
      <c r="J115" s="130"/>
    </row>
    <row r="116" spans="1:10" s="11" customFormat="1" ht="18" customHeight="1">
      <c r="A116" s="184" t="s">
        <v>235</v>
      </c>
      <c r="B116" s="185"/>
      <c r="C116" s="185"/>
      <c r="D116" s="185"/>
      <c r="E116" s="186"/>
      <c r="F116" s="77"/>
      <c r="G116" s="78">
        <f>G17+G5+G111</f>
        <v>14627006200.387096</v>
      </c>
      <c r="H116" s="78">
        <f>H17+H5+H111</f>
        <v>14945000000</v>
      </c>
      <c r="I116" s="78">
        <f>I17+I5+I111</f>
        <v>-317993799.61290324</v>
      </c>
      <c r="J116" s="79"/>
    </row>
    <row r="118" spans="1:10" ht="22.5" customHeight="1">
      <c r="G118" s="91"/>
      <c r="H118" s="91"/>
    </row>
  </sheetData>
  <mergeCells count="49">
    <mergeCell ref="A111:E111"/>
    <mergeCell ref="B112:E112"/>
    <mergeCell ref="C113:E113"/>
    <mergeCell ref="D114:E114"/>
    <mergeCell ref="A116:E116"/>
    <mergeCell ref="D107:E107"/>
    <mergeCell ref="D96:E96"/>
    <mergeCell ref="D85:E85"/>
    <mergeCell ref="D78:E78"/>
    <mergeCell ref="D80:E80"/>
    <mergeCell ref="C84:E84"/>
    <mergeCell ref="D88:E88"/>
    <mergeCell ref="D90:E90"/>
    <mergeCell ref="B94:E94"/>
    <mergeCell ref="C95:E95"/>
    <mergeCell ref="B99:E99"/>
    <mergeCell ref="C100:E100"/>
    <mergeCell ref="D101:E101"/>
    <mergeCell ref="B105:E105"/>
    <mergeCell ref="C106:E106"/>
    <mergeCell ref="D73:E73"/>
    <mergeCell ref="B83:E83"/>
    <mergeCell ref="D69:E69"/>
    <mergeCell ref="D34:E34"/>
    <mergeCell ref="C36:E36"/>
    <mergeCell ref="D37:E37"/>
    <mergeCell ref="D51:E51"/>
    <mergeCell ref="D53:E53"/>
    <mergeCell ref="D67:E67"/>
    <mergeCell ref="D29:E29"/>
    <mergeCell ref="D13:E13"/>
    <mergeCell ref="A17:E17"/>
    <mergeCell ref="B18:E18"/>
    <mergeCell ref="C19:E19"/>
    <mergeCell ref="D20:E20"/>
    <mergeCell ref="D22:E22"/>
    <mergeCell ref="D27:E27"/>
    <mergeCell ref="I3:I4"/>
    <mergeCell ref="J3:J4"/>
    <mergeCell ref="C12:E12"/>
    <mergeCell ref="A3:E3"/>
    <mergeCell ref="F3:F4"/>
    <mergeCell ref="H3:H4"/>
    <mergeCell ref="G3:G4"/>
    <mergeCell ref="A5:E5"/>
    <mergeCell ref="B6:E6"/>
    <mergeCell ref="C7:E7"/>
    <mergeCell ref="D8:E8"/>
    <mergeCell ref="B11:E11"/>
  </mergeCells>
  <phoneticPr fontId="2" type="noConversion"/>
  <printOptions horizontalCentered="1"/>
  <pageMargins left="0.15748031496062992" right="0.15748031496062992" top="0.9055118110236221" bottom="0.98425196850393704" header="0.51181102362204722" footer="0.51181102362204722"/>
  <pageSetup paperSize="9" fitToHeight="50" orientation="portrait" r:id="rId1"/>
  <headerFooter alignWithMargins="0">
    <oddHeader>&amp;C&amp;"맑은 고딕,굵게"&amp;12 2011학년도 세입 본예산 명세서</oddHeader>
    <oddFooter>&amp;C&amp;"맑은 고딕,보통"&amp;8&amp;N페이지 중 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K452"/>
  <sheetViews>
    <sheetView zoomScaleSheetLayoutView="100" workbookViewId="0">
      <pane ySplit="4" topLeftCell="A432" activePane="bottomLeft" state="frozen"/>
      <selection pane="bottomLeft" activeCell="G402" sqref="G402"/>
    </sheetView>
  </sheetViews>
  <sheetFormatPr defaultRowHeight="22.5" customHeight="1"/>
  <cols>
    <col min="1" max="4" width="3.5546875" style="7" customWidth="1"/>
    <col min="5" max="5" width="13.44140625" style="7" customWidth="1"/>
    <col min="6" max="6" width="13.109375" style="7" customWidth="1"/>
    <col min="7" max="7" width="10.5546875" style="7" customWidth="1"/>
    <col min="8" max="8" width="10.5546875" style="91" customWidth="1"/>
    <col min="9" max="9" width="7.77734375" style="97" customWidth="1"/>
    <col min="10" max="10" width="15" style="80" customWidth="1"/>
    <col min="11" max="11" width="28.109375" style="7" hidden="1" customWidth="1"/>
    <col min="12" max="16384" width="8.88671875" style="7"/>
  </cols>
  <sheetData>
    <row r="1" spans="1:10" ht="17.25" customHeight="1">
      <c r="A1" s="2" t="s">
        <v>498</v>
      </c>
      <c r="B1" s="2"/>
      <c r="C1" s="2"/>
      <c r="D1" s="3"/>
      <c r="E1" s="2"/>
      <c r="F1" s="3"/>
      <c r="G1" s="4"/>
      <c r="H1" s="92"/>
      <c r="I1" s="95"/>
      <c r="J1" s="6"/>
    </row>
    <row r="2" spans="1:10" ht="17.25" customHeight="1">
      <c r="A2" s="8"/>
      <c r="B2" s="9"/>
      <c r="C2" s="10"/>
      <c r="D2" s="10"/>
      <c r="E2" s="10"/>
      <c r="F2" s="11"/>
      <c r="G2" s="10"/>
      <c r="H2" s="93"/>
      <c r="I2" s="96"/>
      <c r="J2" s="98" t="s">
        <v>497</v>
      </c>
    </row>
    <row r="3" spans="1:10" ht="17.25" customHeight="1">
      <c r="A3" s="194" t="s">
        <v>496</v>
      </c>
      <c r="B3" s="195"/>
      <c r="C3" s="195"/>
      <c r="D3" s="195"/>
      <c r="E3" s="195"/>
      <c r="F3" s="165" t="s">
        <v>18</v>
      </c>
      <c r="G3" s="167" t="s">
        <v>495</v>
      </c>
      <c r="H3" s="167" t="s">
        <v>494</v>
      </c>
      <c r="I3" s="157" t="s">
        <v>127</v>
      </c>
      <c r="J3" s="159" t="s">
        <v>493</v>
      </c>
    </row>
    <row r="4" spans="1:10" ht="17.25" customHeight="1">
      <c r="A4" s="12" t="s">
        <v>492</v>
      </c>
      <c r="B4" s="139" t="s">
        <v>16</v>
      </c>
      <c r="C4" s="139" t="s">
        <v>491</v>
      </c>
      <c r="D4" s="139" t="s">
        <v>17</v>
      </c>
      <c r="E4" s="139" t="s">
        <v>490</v>
      </c>
      <c r="F4" s="166"/>
      <c r="G4" s="168"/>
      <c r="H4" s="168"/>
      <c r="I4" s="158"/>
      <c r="J4" s="160"/>
    </row>
    <row r="5" spans="1:10" ht="17.25" customHeight="1">
      <c r="A5" s="169" t="s">
        <v>489</v>
      </c>
      <c r="B5" s="170"/>
      <c r="C5" s="170"/>
      <c r="D5" s="170"/>
      <c r="E5" s="171"/>
      <c r="F5" s="13"/>
      <c r="G5" s="14">
        <f>G6+G90</f>
        <v>4277560800</v>
      </c>
      <c r="H5" s="14">
        <f t="shared" ref="H5:I5" si="0">H6+H90</f>
        <v>4135183000</v>
      </c>
      <c r="I5" s="14">
        <f t="shared" si="0"/>
        <v>142377800</v>
      </c>
      <c r="J5" s="117"/>
    </row>
    <row r="6" spans="1:10" ht="17.25" customHeight="1">
      <c r="A6" s="15"/>
      <c r="B6" s="172" t="s">
        <v>3</v>
      </c>
      <c r="C6" s="173"/>
      <c r="D6" s="173"/>
      <c r="E6" s="174"/>
      <c r="F6" s="16"/>
      <c r="G6" s="17">
        <f>G7+G36+G60+G70+G82</f>
        <v>4162560800</v>
      </c>
      <c r="H6" s="17">
        <f t="shared" ref="H6:I6" si="1">H7+H36+H60+H70+H82</f>
        <v>4029477000</v>
      </c>
      <c r="I6" s="17">
        <f t="shared" si="1"/>
        <v>133083800</v>
      </c>
      <c r="J6" s="118"/>
    </row>
    <row r="7" spans="1:10" ht="17.25" customHeight="1">
      <c r="A7" s="19"/>
      <c r="B7" s="20"/>
      <c r="C7" s="161" t="s">
        <v>500</v>
      </c>
      <c r="D7" s="162"/>
      <c r="E7" s="162"/>
      <c r="F7" s="21"/>
      <c r="G7" s="22">
        <f>G8+G31</f>
        <v>3440515000</v>
      </c>
      <c r="H7" s="22">
        <f t="shared" ref="H7:I7" si="2">H8+H31</f>
        <v>3195527000</v>
      </c>
      <c r="I7" s="22">
        <f t="shared" si="2"/>
        <v>244988000</v>
      </c>
      <c r="J7" s="119"/>
    </row>
    <row r="8" spans="1:10" s="30" customFormat="1" ht="17.25" customHeight="1">
      <c r="A8" s="19"/>
      <c r="B8" s="24"/>
      <c r="C8" s="25"/>
      <c r="D8" s="175" t="s">
        <v>552</v>
      </c>
      <c r="E8" s="175"/>
      <c r="F8" s="26"/>
      <c r="G8" s="27">
        <f>SUM(G9:G30)</f>
        <v>3189955000</v>
      </c>
      <c r="H8" s="27">
        <f t="shared" ref="H8:I8" si="3">SUM(H9:H30)</f>
        <v>2963527000</v>
      </c>
      <c r="I8" s="27">
        <f t="shared" si="3"/>
        <v>226428000</v>
      </c>
      <c r="J8" s="120"/>
    </row>
    <row r="9" spans="1:10" s="30" customFormat="1" ht="17.25" customHeight="1">
      <c r="A9" s="19"/>
      <c r="B9" s="24"/>
      <c r="C9" s="31"/>
      <c r="D9" s="32"/>
      <c r="E9" s="33" t="s">
        <v>479</v>
      </c>
      <c r="F9" s="26" t="s">
        <v>479</v>
      </c>
      <c r="G9" s="34">
        <f>1571104800+23566572+328628</f>
        <v>1595000000</v>
      </c>
      <c r="H9" s="34">
        <f>1211920000+7000000</f>
        <v>1218920000</v>
      </c>
      <c r="I9" s="28">
        <f t="shared" ref="I9:I30" si="4">G9-H9</f>
        <v>376080000</v>
      </c>
      <c r="J9" s="144" t="s">
        <v>480</v>
      </c>
    </row>
    <row r="10" spans="1:10" s="30" customFormat="1" ht="17.25" customHeight="1">
      <c r="A10" s="19"/>
      <c r="B10" s="24"/>
      <c r="C10" s="31"/>
      <c r="D10" s="32"/>
      <c r="E10" s="35" t="s">
        <v>478</v>
      </c>
      <c r="F10" s="26" t="s">
        <v>478</v>
      </c>
      <c r="G10" s="34">
        <f>126739820+260180</f>
        <v>127000000</v>
      </c>
      <c r="H10" s="34">
        <f>97701000+1000000</f>
        <v>98701000</v>
      </c>
      <c r="I10" s="28">
        <f t="shared" si="4"/>
        <v>28299000</v>
      </c>
      <c r="J10" s="121" t="s">
        <v>411</v>
      </c>
    </row>
    <row r="11" spans="1:10" s="30" customFormat="1" ht="17.25" customHeight="1">
      <c r="A11" s="19"/>
      <c r="B11" s="24"/>
      <c r="C11" s="31"/>
      <c r="D11" s="32"/>
      <c r="E11" s="35" t="s">
        <v>478</v>
      </c>
      <c r="F11" s="26" t="s">
        <v>477</v>
      </c>
      <c r="G11" s="34">
        <f>46200000+3800000</f>
        <v>50000000</v>
      </c>
      <c r="H11" s="34">
        <v>43560000</v>
      </c>
      <c r="I11" s="28">
        <f t="shared" si="4"/>
        <v>6440000</v>
      </c>
      <c r="J11" s="121" t="s">
        <v>411</v>
      </c>
    </row>
    <row r="12" spans="1:10" s="30" customFormat="1" ht="17.25" customHeight="1">
      <c r="A12" s="19"/>
      <c r="B12" s="24"/>
      <c r="C12" s="31"/>
      <c r="D12" s="32"/>
      <c r="E12" s="35" t="s">
        <v>476</v>
      </c>
      <c r="F12" s="26" t="s">
        <v>476</v>
      </c>
      <c r="G12" s="34">
        <v>170000000</v>
      </c>
      <c r="H12" s="34">
        <f>147328000</f>
        <v>147328000</v>
      </c>
      <c r="I12" s="28">
        <f t="shared" si="4"/>
        <v>22672000</v>
      </c>
      <c r="J12" s="121" t="s">
        <v>411</v>
      </c>
    </row>
    <row r="13" spans="1:10" s="30" customFormat="1" ht="17.25" customHeight="1">
      <c r="A13" s="19"/>
      <c r="B13" s="24"/>
      <c r="C13" s="31"/>
      <c r="D13" s="32"/>
      <c r="E13" s="26" t="s">
        <v>475</v>
      </c>
      <c r="F13" s="26" t="s">
        <v>475</v>
      </c>
      <c r="G13" s="34">
        <v>39240000</v>
      </c>
      <c r="H13" s="34">
        <f>38040000+1000000</f>
        <v>39040000</v>
      </c>
      <c r="I13" s="28">
        <f t="shared" si="4"/>
        <v>200000</v>
      </c>
      <c r="J13" s="121" t="s">
        <v>411</v>
      </c>
    </row>
    <row r="14" spans="1:10" s="30" customFormat="1" ht="17.25" customHeight="1">
      <c r="A14" s="19"/>
      <c r="B14" s="24"/>
      <c r="C14" s="31"/>
      <c r="D14" s="32"/>
      <c r="E14" s="26" t="s">
        <v>474</v>
      </c>
      <c r="F14" s="26" t="s">
        <v>474</v>
      </c>
      <c r="G14" s="34">
        <f>17079600+20400</f>
        <v>17100000</v>
      </c>
      <c r="H14" s="34">
        <v>13466000</v>
      </c>
      <c r="I14" s="28">
        <f t="shared" si="4"/>
        <v>3634000</v>
      </c>
      <c r="J14" s="121" t="s">
        <v>411</v>
      </c>
    </row>
    <row r="15" spans="1:10" s="30" customFormat="1" ht="17.25" customHeight="1">
      <c r="A15" s="19"/>
      <c r="B15" s="24"/>
      <c r="C15" s="31"/>
      <c r="D15" s="32"/>
      <c r="E15" s="36" t="s">
        <v>488</v>
      </c>
      <c r="F15" s="36" t="s">
        <v>488</v>
      </c>
      <c r="G15" s="34">
        <v>2375000</v>
      </c>
      <c r="H15" s="34">
        <v>6000000</v>
      </c>
      <c r="I15" s="28">
        <f t="shared" si="4"/>
        <v>-3625000</v>
      </c>
      <c r="J15" s="121"/>
    </row>
    <row r="16" spans="1:10" s="30" customFormat="1" ht="17.25" customHeight="1">
      <c r="A16" s="19"/>
      <c r="B16" s="24"/>
      <c r="C16" s="31"/>
      <c r="D16" s="32"/>
      <c r="E16" s="26" t="s">
        <v>487</v>
      </c>
      <c r="F16" s="26" t="s">
        <v>487</v>
      </c>
      <c r="G16" s="34">
        <v>960000</v>
      </c>
      <c r="H16" s="34">
        <v>180000</v>
      </c>
      <c r="I16" s="28">
        <f t="shared" si="4"/>
        <v>780000</v>
      </c>
      <c r="J16" s="121" t="s">
        <v>540</v>
      </c>
    </row>
    <row r="17" spans="1:10" s="30" customFormat="1" ht="17.25" customHeight="1">
      <c r="A17" s="19"/>
      <c r="B17" s="24"/>
      <c r="C17" s="31"/>
      <c r="D17" s="32"/>
      <c r="E17" s="26" t="s">
        <v>486</v>
      </c>
      <c r="F17" s="26" t="s">
        <v>486</v>
      </c>
      <c r="G17" s="34">
        <v>153000000</v>
      </c>
      <c r="H17" s="34">
        <v>150000000</v>
      </c>
      <c r="I17" s="28">
        <f t="shared" si="4"/>
        <v>3000000</v>
      </c>
      <c r="J17" s="121"/>
    </row>
    <row r="18" spans="1:10" s="30" customFormat="1" ht="17.25" customHeight="1">
      <c r="A18" s="19"/>
      <c r="B18" s="24"/>
      <c r="C18" s="31"/>
      <c r="D18" s="32"/>
      <c r="E18" s="26" t="s">
        <v>485</v>
      </c>
      <c r="F18" s="26" t="s">
        <v>4</v>
      </c>
      <c r="G18" s="34">
        <v>6720000</v>
      </c>
      <c r="H18" s="34">
        <v>6720000</v>
      </c>
      <c r="I18" s="28">
        <f t="shared" si="4"/>
        <v>0</v>
      </c>
      <c r="J18" s="121"/>
    </row>
    <row r="19" spans="1:10" s="30" customFormat="1" ht="17.25" customHeight="1">
      <c r="A19" s="19"/>
      <c r="B19" s="24"/>
      <c r="C19" s="31"/>
      <c r="D19" s="32"/>
      <c r="E19" s="26" t="s">
        <v>484</v>
      </c>
      <c r="F19" s="26" t="s">
        <v>483</v>
      </c>
      <c r="G19" s="34">
        <v>39600000</v>
      </c>
      <c r="H19" s="34">
        <v>39600000</v>
      </c>
      <c r="I19" s="28">
        <f t="shared" si="4"/>
        <v>0</v>
      </c>
      <c r="J19" s="121"/>
    </row>
    <row r="20" spans="1:10" s="30" customFormat="1" ht="17.25" customHeight="1">
      <c r="A20" s="19"/>
      <c r="B20" s="24"/>
      <c r="C20" s="31"/>
      <c r="D20" s="32"/>
      <c r="E20" s="26" t="s">
        <v>482</v>
      </c>
      <c r="F20" s="26" t="s">
        <v>481</v>
      </c>
      <c r="G20" s="34">
        <v>360000</v>
      </c>
      <c r="H20" s="34">
        <v>360000</v>
      </c>
      <c r="I20" s="28">
        <f t="shared" si="4"/>
        <v>0</v>
      </c>
      <c r="J20" s="121"/>
    </row>
    <row r="21" spans="1:10" ht="17.25" customHeight="1">
      <c r="A21" s="37"/>
      <c r="B21" s="38"/>
      <c r="C21" s="39"/>
      <c r="D21" s="40"/>
      <c r="E21" s="38" t="s">
        <v>471</v>
      </c>
      <c r="F21" s="26" t="s">
        <v>470</v>
      </c>
      <c r="G21" s="34">
        <f>G9*0.4</f>
        <v>638000000</v>
      </c>
      <c r="H21" s="34">
        <f>605960000+3500000</f>
        <v>609460000</v>
      </c>
      <c r="I21" s="28">
        <f t="shared" si="4"/>
        <v>28540000</v>
      </c>
      <c r="J21" s="144" t="s">
        <v>480</v>
      </c>
    </row>
    <row r="22" spans="1:10" s="30" customFormat="1" ht="17.25" customHeight="1">
      <c r="A22" s="19"/>
      <c r="B22" s="24"/>
      <c r="C22" s="31"/>
      <c r="D22" s="32"/>
      <c r="E22" s="35" t="s">
        <v>26</v>
      </c>
      <c r="F22" s="26" t="s">
        <v>469</v>
      </c>
      <c r="G22" s="34">
        <f>45025900+474100</f>
        <v>45500000</v>
      </c>
      <c r="H22" s="34">
        <v>40907000</v>
      </c>
      <c r="I22" s="28">
        <f t="shared" si="4"/>
        <v>4593000</v>
      </c>
      <c r="J22" s="144" t="s">
        <v>411</v>
      </c>
    </row>
    <row r="23" spans="1:10" s="30" customFormat="1" ht="17.25" customHeight="1">
      <c r="A23" s="19"/>
      <c r="B23" s="24"/>
      <c r="C23" s="31"/>
      <c r="D23" s="32"/>
      <c r="E23" s="35" t="s">
        <v>26</v>
      </c>
      <c r="F23" s="26" t="s">
        <v>27</v>
      </c>
      <c r="G23" s="34">
        <v>25000000</v>
      </c>
      <c r="H23" s="34">
        <v>24000000</v>
      </c>
      <c r="I23" s="28">
        <f t="shared" si="4"/>
        <v>1000000</v>
      </c>
      <c r="J23" s="144" t="s">
        <v>411</v>
      </c>
    </row>
    <row r="24" spans="1:10" s="30" customFormat="1" ht="17.25" customHeight="1">
      <c r="A24" s="19"/>
      <c r="B24" s="24"/>
      <c r="C24" s="31"/>
      <c r="D24" s="32"/>
      <c r="E24" s="35" t="s">
        <v>468</v>
      </c>
      <c r="F24" s="26" t="s">
        <v>468</v>
      </c>
      <c r="G24" s="34">
        <f>(397800*12)+26400</f>
        <v>4800000</v>
      </c>
      <c r="H24" s="34">
        <v>4574000</v>
      </c>
      <c r="I24" s="28">
        <f t="shared" si="4"/>
        <v>226000</v>
      </c>
      <c r="J24" s="121"/>
    </row>
    <row r="25" spans="1:10" s="30" customFormat="1" ht="17.25" customHeight="1">
      <c r="A25" s="19"/>
      <c r="B25" s="24"/>
      <c r="C25" s="31"/>
      <c r="D25" s="32"/>
      <c r="E25" s="35" t="s">
        <v>242</v>
      </c>
      <c r="F25" s="26" t="s">
        <v>243</v>
      </c>
      <c r="G25" s="34">
        <f>34773600-G24+26400</f>
        <v>30000000</v>
      </c>
      <c r="H25" s="34">
        <v>30000000</v>
      </c>
      <c r="I25" s="28">
        <f t="shared" si="4"/>
        <v>0</v>
      </c>
      <c r="J25" s="121"/>
    </row>
    <row r="26" spans="1:10" s="30" customFormat="1" ht="17.25" customHeight="1">
      <c r="A26" s="19"/>
      <c r="B26" s="24"/>
      <c r="C26" s="31"/>
      <c r="D26" s="32"/>
      <c r="E26" s="35" t="s">
        <v>453</v>
      </c>
      <c r="F26" s="26" t="s">
        <v>464</v>
      </c>
      <c r="G26" s="34">
        <v>7800000</v>
      </c>
      <c r="H26" s="34">
        <v>7800000</v>
      </c>
      <c r="I26" s="28">
        <f t="shared" si="4"/>
        <v>0</v>
      </c>
      <c r="J26" s="121"/>
    </row>
    <row r="27" spans="1:10" s="30" customFormat="1" ht="17.25" customHeight="1">
      <c r="A27" s="19"/>
      <c r="B27" s="24"/>
      <c r="C27" s="31"/>
      <c r="D27" s="32"/>
      <c r="E27" s="35" t="s">
        <v>28</v>
      </c>
      <c r="F27" s="26" t="s">
        <v>28</v>
      </c>
      <c r="G27" s="34">
        <v>78000000</v>
      </c>
      <c r="H27" s="34">
        <v>78000000</v>
      </c>
      <c r="I27" s="28">
        <f t="shared" si="4"/>
        <v>0</v>
      </c>
      <c r="J27" s="121"/>
    </row>
    <row r="28" spans="1:10" s="30" customFormat="1" ht="17.25" customHeight="1">
      <c r="A28" s="19"/>
      <c r="B28" s="24"/>
      <c r="C28" s="31"/>
      <c r="D28" s="32"/>
      <c r="E28" s="35" t="s">
        <v>467</v>
      </c>
      <c r="F28" s="26" t="s">
        <v>467</v>
      </c>
      <c r="G28" s="34">
        <v>0</v>
      </c>
      <c r="H28" s="34">
        <v>78840000</v>
      </c>
      <c r="I28" s="28">
        <f t="shared" si="4"/>
        <v>-78840000</v>
      </c>
      <c r="J28" s="121" t="s">
        <v>541</v>
      </c>
    </row>
    <row r="29" spans="1:10" s="30" customFormat="1" ht="17.25" customHeight="1">
      <c r="A29" s="19"/>
      <c r="B29" s="24"/>
      <c r="C29" s="31"/>
      <c r="D29" s="32"/>
      <c r="E29" s="35" t="s">
        <v>63</v>
      </c>
      <c r="F29" s="26" t="s">
        <v>63</v>
      </c>
      <c r="G29" s="34">
        <f>G9*1.2/12</f>
        <v>159500000</v>
      </c>
      <c r="H29" s="34">
        <f>121192000+1200000</f>
        <v>122392000</v>
      </c>
      <c r="I29" s="28">
        <f t="shared" si="4"/>
        <v>37108000</v>
      </c>
      <c r="J29" s="144" t="s">
        <v>652</v>
      </c>
    </row>
    <row r="30" spans="1:10" s="30" customFormat="1" ht="17.25" customHeight="1">
      <c r="A30" s="19"/>
      <c r="B30" s="24"/>
      <c r="C30" s="31"/>
      <c r="D30" s="32"/>
      <c r="E30" s="35" t="s">
        <v>466</v>
      </c>
      <c r="F30" s="26" t="s">
        <v>466</v>
      </c>
      <c r="G30" s="34">
        <v>0</v>
      </c>
      <c r="H30" s="34">
        <f>202279000+1400000</f>
        <v>203679000</v>
      </c>
      <c r="I30" s="28">
        <f t="shared" si="4"/>
        <v>-203679000</v>
      </c>
      <c r="J30" s="121" t="s">
        <v>541</v>
      </c>
    </row>
    <row r="31" spans="1:10" s="30" customFormat="1" ht="17.25" customHeight="1">
      <c r="A31" s="19"/>
      <c r="B31" s="24"/>
      <c r="C31" s="31"/>
      <c r="D31" s="175" t="s">
        <v>553</v>
      </c>
      <c r="E31" s="175"/>
      <c r="F31" s="26"/>
      <c r="G31" s="27">
        <f>SUM(G32:G35)</f>
        <v>250560000</v>
      </c>
      <c r="H31" s="27">
        <f t="shared" ref="H31:I31" si="5">SUM(H32:H35)</f>
        <v>232000000</v>
      </c>
      <c r="I31" s="27">
        <f t="shared" si="5"/>
        <v>18560000</v>
      </c>
      <c r="J31" s="120"/>
    </row>
    <row r="32" spans="1:10" s="30" customFormat="1" ht="17.25" customHeight="1">
      <c r="A32" s="19"/>
      <c r="B32" s="24"/>
      <c r="C32" s="31"/>
      <c r="D32" s="41"/>
      <c r="E32" s="36" t="s">
        <v>548</v>
      </c>
      <c r="F32" s="26" t="s">
        <v>462</v>
      </c>
      <c r="G32" s="34">
        <f>ROUNDDOWN(H32*1.08,-1)</f>
        <v>172800000</v>
      </c>
      <c r="H32" s="34">
        <v>160000000</v>
      </c>
      <c r="I32" s="28">
        <f>G32-H32</f>
        <v>12800000</v>
      </c>
      <c r="J32" s="121" t="s">
        <v>461</v>
      </c>
    </row>
    <row r="33" spans="1:10" s="30" customFormat="1" ht="17.25" customHeight="1">
      <c r="A33" s="19"/>
      <c r="B33" s="24"/>
      <c r="C33" s="31"/>
      <c r="D33" s="41"/>
      <c r="E33" s="36" t="s">
        <v>549</v>
      </c>
      <c r="F33" s="26" t="s">
        <v>460</v>
      </c>
      <c r="G33" s="34">
        <f>ROUNDDOWN(H33*1.08,-1)</f>
        <v>12960000</v>
      </c>
      <c r="H33" s="34">
        <v>12000000</v>
      </c>
      <c r="I33" s="28">
        <f t="shared" ref="I33:I35" si="6">G33-H33</f>
        <v>960000</v>
      </c>
      <c r="J33" s="121" t="s">
        <v>411</v>
      </c>
    </row>
    <row r="34" spans="1:10" s="30" customFormat="1" ht="17.25" customHeight="1">
      <c r="A34" s="19"/>
      <c r="B34" s="24"/>
      <c r="C34" s="31"/>
      <c r="D34" s="41"/>
      <c r="E34" s="36" t="s">
        <v>550</v>
      </c>
      <c r="F34" s="26" t="s">
        <v>105</v>
      </c>
      <c r="G34" s="34">
        <f>ROUNDDOWN(H34*1.08,-1)</f>
        <v>60480000</v>
      </c>
      <c r="H34" s="34">
        <v>56000000</v>
      </c>
      <c r="I34" s="28">
        <f t="shared" si="6"/>
        <v>4480000</v>
      </c>
      <c r="J34" s="121" t="s">
        <v>411</v>
      </c>
    </row>
    <row r="35" spans="1:10" s="30" customFormat="1" ht="17.25" customHeight="1">
      <c r="A35" s="19"/>
      <c r="B35" s="24"/>
      <c r="C35" s="31"/>
      <c r="D35" s="41"/>
      <c r="E35" s="36" t="s">
        <v>551</v>
      </c>
      <c r="F35" s="26" t="s">
        <v>459</v>
      </c>
      <c r="G35" s="34">
        <f>ROUNDDOWN(H35*1.08,-1)</f>
        <v>4320000</v>
      </c>
      <c r="H35" s="34">
        <v>4000000</v>
      </c>
      <c r="I35" s="28">
        <f t="shared" si="6"/>
        <v>320000</v>
      </c>
      <c r="J35" s="121" t="s">
        <v>411</v>
      </c>
    </row>
    <row r="36" spans="1:10" ht="17.25" customHeight="1">
      <c r="A36" s="19"/>
      <c r="B36" s="31"/>
      <c r="C36" s="161" t="s">
        <v>499</v>
      </c>
      <c r="D36" s="162"/>
      <c r="E36" s="162"/>
      <c r="F36" s="21"/>
      <c r="G36" s="22">
        <f>G37+G55</f>
        <v>265916000</v>
      </c>
      <c r="H36" s="22">
        <f t="shared" ref="H36:I36" si="7">H37+H55</f>
        <v>250540000</v>
      </c>
      <c r="I36" s="22">
        <f t="shared" si="7"/>
        <v>15376000</v>
      </c>
      <c r="J36" s="119"/>
    </row>
    <row r="37" spans="1:10" s="30" customFormat="1" ht="17.25" customHeight="1">
      <c r="A37" s="19"/>
      <c r="B37" s="24"/>
      <c r="C37" s="31"/>
      <c r="D37" s="175" t="s">
        <v>552</v>
      </c>
      <c r="E37" s="175"/>
      <c r="F37" s="26"/>
      <c r="G37" s="27">
        <f>SUM(G38:G54)</f>
        <v>240428000</v>
      </c>
      <c r="H37" s="27">
        <f t="shared" ref="H37:I37" si="8">SUM(H38:H54)</f>
        <v>226940000</v>
      </c>
      <c r="I37" s="27">
        <f t="shared" si="8"/>
        <v>13488000</v>
      </c>
      <c r="J37" s="120"/>
    </row>
    <row r="38" spans="1:10" s="30" customFormat="1" ht="17.25" customHeight="1">
      <c r="A38" s="19"/>
      <c r="B38" s="24"/>
      <c r="C38" s="31"/>
      <c r="D38" s="32"/>
      <c r="E38" s="26" t="s">
        <v>479</v>
      </c>
      <c r="F38" s="26" t="s">
        <v>479</v>
      </c>
      <c r="G38" s="34">
        <f>117555600+1764400</f>
        <v>119320000</v>
      </c>
      <c r="H38" s="34">
        <f>91942000+300000</f>
        <v>92242000</v>
      </c>
      <c r="I38" s="28">
        <f t="shared" ref="I38:I54" si="9">G38-H38</f>
        <v>27078000</v>
      </c>
      <c r="J38" s="144" t="s">
        <v>652</v>
      </c>
    </row>
    <row r="39" spans="1:10" s="30" customFormat="1" ht="17.25" customHeight="1">
      <c r="A39" s="19"/>
      <c r="B39" s="24"/>
      <c r="C39" s="31"/>
      <c r="D39" s="32"/>
      <c r="E39" s="26" t="s">
        <v>478</v>
      </c>
      <c r="F39" s="26" t="s">
        <v>478</v>
      </c>
      <c r="G39" s="34">
        <f>9611100+88900</f>
        <v>9700000</v>
      </c>
      <c r="H39" s="34">
        <f>7518000+200000</f>
        <v>7718000</v>
      </c>
      <c r="I39" s="28">
        <f t="shared" si="9"/>
        <v>1982000</v>
      </c>
      <c r="J39" s="121" t="s">
        <v>411</v>
      </c>
    </row>
    <row r="40" spans="1:10" s="30" customFormat="1" ht="17.25" customHeight="1">
      <c r="A40" s="19"/>
      <c r="B40" s="24"/>
      <c r="C40" s="31"/>
      <c r="D40" s="32"/>
      <c r="E40" s="26" t="s">
        <v>478</v>
      </c>
      <c r="F40" s="26" t="s">
        <v>477</v>
      </c>
      <c r="G40" s="34">
        <f>3360000+390000</f>
        <v>3750000</v>
      </c>
      <c r="H40" s="34">
        <f>3360000+100000</f>
        <v>3460000</v>
      </c>
      <c r="I40" s="28">
        <f t="shared" si="9"/>
        <v>290000</v>
      </c>
      <c r="J40" s="121" t="s">
        <v>411</v>
      </c>
    </row>
    <row r="41" spans="1:10" s="30" customFormat="1" ht="17.25" customHeight="1">
      <c r="A41" s="19"/>
      <c r="B41" s="24"/>
      <c r="C41" s="31"/>
      <c r="D41" s="32"/>
      <c r="E41" s="26" t="s">
        <v>476</v>
      </c>
      <c r="F41" s="26" t="s">
        <v>476</v>
      </c>
      <c r="G41" s="34">
        <v>12000000</v>
      </c>
      <c r="H41" s="34">
        <v>11200000</v>
      </c>
      <c r="I41" s="28">
        <f t="shared" si="9"/>
        <v>800000</v>
      </c>
      <c r="J41" s="121" t="s">
        <v>411</v>
      </c>
    </row>
    <row r="42" spans="1:10" s="30" customFormat="1" ht="17.25" customHeight="1">
      <c r="A42" s="19"/>
      <c r="B42" s="24"/>
      <c r="C42" s="31"/>
      <c r="D42" s="32"/>
      <c r="E42" s="26" t="s">
        <v>475</v>
      </c>
      <c r="F42" s="26" t="s">
        <v>475</v>
      </c>
      <c r="G42" s="34">
        <v>3120000</v>
      </c>
      <c r="H42" s="34">
        <v>3120000</v>
      </c>
      <c r="I42" s="28">
        <f t="shared" si="9"/>
        <v>0</v>
      </c>
      <c r="J42" s="121"/>
    </row>
    <row r="43" spans="1:10" s="30" customFormat="1" ht="17.25" customHeight="1">
      <c r="A43" s="19"/>
      <c r="B43" s="24"/>
      <c r="C43" s="31"/>
      <c r="D43" s="32"/>
      <c r="E43" s="26" t="s">
        <v>474</v>
      </c>
      <c r="F43" s="26" t="s">
        <v>474</v>
      </c>
      <c r="G43" s="34">
        <v>2286000</v>
      </c>
      <c r="H43" s="34">
        <v>2286000</v>
      </c>
      <c r="I43" s="28">
        <f t="shared" si="9"/>
        <v>0</v>
      </c>
      <c r="J43" s="144" t="s">
        <v>652</v>
      </c>
    </row>
    <row r="44" spans="1:10" s="30" customFormat="1" ht="17.25" customHeight="1">
      <c r="A44" s="19"/>
      <c r="B44" s="24"/>
      <c r="C44" s="31"/>
      <c r="D44" s="32"/>
      <c r="E44" s="26" t="s">
        <v>64</v>
      </c>
      <c r="F44" s="26" t="s">
        <v>473</v>
      </c>
      <c r="G44" s="34">
        <v>0</v>
      </c>
      <c r="H44" s="34">
        <v>10000</v>
      </c>
      <c r="I44" s="28">
        <f t="shared" si="9"/>
        <v>-10000</v>
      </c>
      <c r="J44" s="121"/>
    </row>
    <row r="45" spans="1:10" s="30" customFormat="1" ht="17.25" customHeight="1">
      <c r="A45" s="19"/>
      <c r="B45" s="24"/>
      <c r="C45" s="31"/>
      <c r="D45" s="32"/>
      <c r="E45" s="26" t="s">
        <v>65</v>
      </c>
      <c r="F45" s="26" t="s">
        <v>472</v>
      </c>
      <c r="G45" s="34">
        <v>0</v>
      </c>
      <c r="H45" s="34">
        <v>60000</v>
      </c>
      <c r="I45" s="28">
        <f t="shared" si="9"/>
        <v>-60000</v>
      </c>
      <c r="J45" s="121"/>
    </row>
    <row r="46" spans="1:10" s="30" customFormat="1" ht="17.25" customHeight="1">
      <c r="A46" s="19"/>
      <c r="B46" s="24"/>
      <c r="C46" s="31"/>
      <c r="D46" s="32"/>
      <c r="E46" s="36" t="s">
        <v>471</v>
      </c>
      <c r="F46" s="26" t="s">
        <v>470</v>
      </c>
      <c r="G46" s="34">
        <f>G38*0.4</f>
        <v>47728000</v>
      </c>
      <c r="H46" s="34">
        <f>45971000+150000</f>
        <v>46121000</v>
      </c>
      <c r="I46" s="28">
        <f t="shared" si="9"/>
        <v>1607000</v>
      </c>
      <c r="J46" s="144" t="s">
        <v>652</v>
      </c>
    </row>
    <row r="47" spans="1:10" s="30" customFormat="1" ht="17.25" customHeight="1">
      <c r="A47" s="19"/>
      <c r="B47" s="24"/>
      <c r="C47" s="31"/>
      <c r="D47" s="32"/>
      <c r="E47" s="26" t="s">
        <v>26</v>
      </c>
      <c r="F47" s="26" t="s">
        <v>469</v>
      </c>
      <c r="G47" s="34">
        <f>4071960+40</f>
        <v>4072000</v>
      </c>
      <c r="H47" s="34">
        <f>3776000+100000</f>
        <v>3876000</v>
      </c>
      <c r="I47" s="28">
        <f t="shared" si="9"/>
        <v>196000</v>
      </c>
      <c r="J47" s="121" t="s">
        <v>411</v>
      </c>
    </row>
    <row r="48" spans="1:10" s="30" customFormat="1" ht="17.25" customHeight="1">
      <c r="A48" s="19"/>
      <c r="B48" s="24"/>
      <c r="C48" s="31"/>
      <c r="D48" s="32"/>
      <c r="E48" s="26" t="s">
        <v>453</v>
      </c>
      <c r="F48" s="26" t="s">
        <v>4</v>
      </c>
      <c r="G48" s="34">
        <v>7200000</v>
      </c>
      <c r="H48" s="34">
        <v>7200000</v>
      </c>
      <c r="I48" s="28">
        <f t="shared" si="9"/>
        <v>0</v>
      </c>
      <c r="J48" s="121"/>
    </row>
    <row r="49" spans="1:10" s="30" customFormat="1" ht="17.25" customHeight="1">
      <c r="A49" s="19"/>
      <c r="B49" s="24"/>
      <c r="C49" s="31"/>
      <c r="D49" s="32"/>
      <c r="E49" s="26" t="s">
        <v>28</v>
      </c>
      <c r="F49" s="26" t="s">
        <v>28</v>
      </c>
      <c r="G49" s="34">
        <v>6240000</v>
      </c>
      <c r="H49" s="34">
        <v>6240000</v>
      </c>
      <c r="I49" s="28">
        <f t="shared" si="9"/>
        <v>0</v>
      </c>
      <c r="J49" s="121"/>
    </row>
    <row r="50" spans="1:10" s="30" customFormat="1" ht="17.25" customHeight="1">
      <c r="A50" s="19"/>
      <c r="B50" s="24"/>
      <c r="C50" s="31"/>
      <c r="D50" s="32"/>
      <c r="E50" s="26" t="s">
        <v>467</v>
      </c>
      <c r="F50" s="26" t="s">
        <v>467</v>
      </c>
      <c r="G50" s="34">
        <v>0</v>
      </c>
      <c r="H50" s="34">
        <v>6120000</v>
      </c>
      <c r="I50" s="28">
        <f t="shared" si="9"/>
        <v>-6120000</v>
      </c>
      <c r="J50" s="121" t="s">
        <v>541</v>
      </c>
    </row>
    <row r="51" spans="1:10" s="30" customFormat="1" ht="17.25" customHeight="1">
      <c r="A51" s="19"/>
      <c r="B51" s="24"/>
      <c r="C51" s="31"/>
      <c r="D51" s="32"/>
      <c r="E51" s="26" t="s">
        <v>63</v>
      </c>
      <c r="F51" s="26" t="s">
        <v>63</v>
      </c>
      <c r="G51" s="34">
        <f>G38*1.2/12</f>
        <v>11932000</v>
      </c>
      <c r="H51" s="34">
        <f>9194000+200000</f>
        <v>9394000</v>
      </c>
      <c r="I51" s="28">
        <f t="shared" si="9"/>
        <v>2538000</v>
      </c>
      <c r="J51" s="144" t="s">
        <v>652</v>
      </c>
    </row>
    <row r="52" spans="1:10" s="30" customFormat="1" ht="17.25" customHeight="1">
      <c r="A52" s="19"/>
      <c r="B52" s="24"/>
      <c r="C52" s="31"/>
      <c r="D52" s="32"/>
      <c r="E52" s="26" t="s">
        <v>466</v>
      </c>
      <c r="F52" s="26" t="s">
        <v>466</v>
      </c>
      <c r="G52" s="34">
        <v>0</v>
      </c>
      <c r="H52" s="34">
        <f>15354000+52000</f>
        <v>15406000</v>
      </c>
      <c r="I52" s="28">
        <f t="shared" si="9"/>
        <v>-15406000</v>
      </c>
      <c r="J52" s="121" t="s">
        <v>541</v>
      </c>
    </row>
    <row r="53" spans="1:10" s="30" customFormat="1" ht="17.25" customHeight="1">
      <c r="A53" s="19"/>
      <c r="B53" s="24"/>
      <c r="C53" s="31"/>
      <c r="D53" s="32"/>
      <c r="E53" s="26" t="s">
        <v>465</v>
      </c>
      <c r="F53" s="26" t="s">
        <v>465</v>
      </c>
      <c r="G53" s="34">
        <f>5616545+83455</f>
        <v>5700000</v>
      </c>
      <c r="H53" s="34">
        <v>5107000</v>
      </c>
      <c r="I53" s="28">
        <f t="shared" si="9"/>
        <v>593000</v>
      </c>
      <c r="J53" s="121" t="s">
        <v>411</v>
      </c>
    </row>
    <row r="54" spans="1:10" s="30" customFormat="1" ht="17.25" customHeight="1">
      <c r="A54" s="19"/>
      <c r="B54" s="24"/>
      <c r="C54" s="31"/>
      <c r="D54" s="32"/>
      <c r="E54" s="26" t="s">
        <v>453</v>
      </c>
      <c r="F54" s="26" t="s">
        <v>464</v>
      </c>
      <c r="G54" s="34">
        <v>7380000</v>
      </c>
      <c r="H54" s="34">
        <v>7380000</v>
      </c>
      <c r="I54" s="28">
        <f t="shared" si="9"/>
        <v>0</v>
      </c>
      <c r="J54" s="121"/>
    </row>
    <row r="55" spans="1:10" s="30" customFormat="1" ht="17.25" customHeight="1">
      <c r="A55" s="19"/>
      <c r="B55" s="24"/>
      <c r="C55" s="31"/>
      <c r="D55" s="175" t="s">
        <v>463</v>
      </c>
      <c r="E55" s="175"/>
      <c r="F55" s="26"/>
      <c r="G55" s="27">
        <f>SUM(G56:G59)</f>
        <v>25488000</v>
      </c>
      <c r="H55" s="27">
        <f t="shared" ref="H55:I55" si="10">SUM(H56:H59)</f>
        <v>23600000</v>
      </c>
      <c r="I55" s="27">
        <f t="shared" si="10"/>
        <v>1888000</v>
      </c>
      <c r="J55" s="120"/>
    </row>
    <row r="56" spans="1:10" s="30" customFormat="1" ht="17.25" customHeight="1">
      <c r="A56" s="19"/>
      <c r="B56" s="24"/>
      <c r="C56" s="31"/>
      <c r="D56" s="41"/>
      <c r="E56" s="36" t="s">
        <v>548</v>
      </c>
      <c r="F56" s="26" t="s">
        <v>458</v>
      </c>
      <c r="G56" s="34">
        <f>ROUNDDOWN(H56*1.08,-1)</f>
        <v>19440000</v>
      </c>
      <c r="H56" s="34">
        <v>18000000</v>
      </c>
      <c r="I56" s="28">
        <f>G56-H56</f>
        <v>1440000</v>
      </c>
      <c r="J56" s="121" t="s">
        <v>411</v>
      </c>
    </row>
    <row r="57" spans="1:10" s="30" customFormat="1" ht="17.25" customHeight="1">
      <c r="A57" s="19"/>
      <c r="B57" s="24"/>
      <c r="C57" s="31"/>
      <c r="D57" s="32"/>
      <c r="E57" s="36" t="s">
        <v>549</v>
      </c>
      <c r="F57" s="26" t="s">
        <v>457</v>
      </c>
      <c r="G57" s="34">
        <f>ROUNDDOWN(H57*1.08,-1)</f>
        <v>1404000</v>
      </c>
      <c r="H57" s="34">
        <v>1300000</v>
      </c>
      <c r="I57" s="28">
        <f t="shared" ref="I57:I59" si="11">G57-H57</f>
        <v>104000</v>
      </c>
      <c r="J57" s="121" t="s">
        <v>411</v>
      </c>
    </row>
    <row r="58" spans="1:10" s="30" customFormat="1" ht="17.25" customHeight="1">
      <c r="A58" s="19"/>
      <c r="B58" s="24"/>
      <c r="C58" s="31"/>
      <c r="D58" s="32"/>
      <c r="E58" s="36" t="s">
        <v>550</v>
      </c>
      <c r="F58" s="26" t="s">
        <v>456</v>
      </c>
      <c r="G58" s="34">
        <f>ROUNDDOWN(H58*1.08,-1)</f>
        <v>4320000</v>
      </c>
      <c r="H58" s="34">
        <v>4000000</v>
      </c>
      <c r="I58" s="28">
        <f t="shared" si="11"/>
        <v>320000</v>
      </c>
      <c r="J58" s="52" t="s">
        <v>411</v>
      </c>
    </row>
    <row r="59" spans="1:10" s="30" customFormat="1" ht="17.25" customHeight="1">
      <c r="A59" s="19"/>
      <c r="B59" s="24"/>
      <c r="C59" s="42"/>
      <c r="D59" s="32"/>
      <c r="E59" s="36" t="s">
        <v>551</v>
      </c>
      <c r="F59" s="26" t="s">
        <v>455</v>
      </c>
      <c r="G59" s="34">
        <f>ROUNDDOWN(H59*1.08,-1)</f>
        <v>324000</v>
      </c>
      <c r="H59" s="34">
        <v>300000</v>
      </c>
      <c r="I59" s="28">
        <f t="shared" si="11"/>
        <v>24000</v>
      </c>
      <c r="J59" s="121" t="s">
        <v>411</v>
      </c>
    </row>
    <row r="60" spans="1:10" s="30" customFormat="1" ht="17.25" customHeight="1">
      <c r="A60" s="19"/>
      <c r="B60" s="24"/>
      <c r="C60" s="161" t="s">
        <v>502</v>
      </c>
      <c r="D60" s="162"/>
      <c r="E60" s="162"/>
      <c r="F60" s="43"/>
      <c r="G60" s="22">
        <f>G61+G63</f>
        <v>277755800</v>
      </c>
      <c r="H60" s="22">
        <f t="shared" ref="H60:I60" si="12">H61+H63</f>
        <v>351013000</v>
      </c>
      <c r="I60" s="22">
        <f t="shared" si="12"/>
        <v>-73257200</v>
      </c>
      <c r="J60" s="119"/>
    </row>
    <row r="61" spans="1:10" s="30" customFormat="1" ht="17.25" customHeight="1">
      <c r="A61" s="19"/>
      <c r="B61" s="24"/>
      <c r="C61" s="25"/>
      <c r="D61" s="175" t="s">
        <v>554</v>
      </c>
      <c r="E61" s="175"/>
      <c r="F61" s="26"/>
      <c r="G61" s="27">
        <f>SUM(G62:G62)</f>
        <v>241000000</v>
      </c>
      <c r="H61" s="27">
        <f t="shared" ref="H61:I61" si="13">SUM(H62:H62)</f>
        <v>298500000</v>
      </c>
      <c r="I61" s="27">
        <f t="shared" si="13"/>
        <v>-57500000</v>
      </c>
      <c r="J61" s="120"/>
    </row>
    <row r="62" spans="1:10" s="30" customFormat="1" ht="17.25" customHeight="1">
      <c r="A62" s="19"/>
      <c r="B62" s="24"/>
      <c r="C62" s="31"/>
      <c r="D62" s="32"/>
      <c r="E62" s="26" t="s">
        <v>452</v>
      </c>
      <c r="F62" s="26" t="s">
        <v>451</v>
      </c>
      <c r="G62" s="34">
        <v>241000000</v>
      </c>
      <c r="H62" s="34">
        <f>298500000</f>
        <v>298500000</v>
      </c>
      <c r="I62" s="28">
        <f>G62-H62</f>
        <v>-57500000</v>
      </c>
      <c r="J62" s="52"/>
    </row>
    <row r="63" spans="1:10" s="30" customFormat="1" ht="17.25" customHeight="1">
      <c r="A63" s="19"/>
      <c r="B63" s="24"/>
      <c r="C63" s="31"/>
      <c r="D63" s="175" t="s">
        <v>555</v>
      </c>
      <c r="E63" s="175"/>
      <c r="F63" s="26"/>
      <c r="G63" s="27">
        <f>SUM(G64:G69)</f>
        <v>36755800</v>
      </c>
      <c r="H63" s="27">
        <f>SUM(H64:H69)</f>
        <v>52513000</v>
      </c>
      <c r="I63" s="27">
        <f>SUM(I64:I69)</f>
        <v>-15757200</v>
      </c>
      <c r="J63" s="120"/>
    </row>
    <row r="64" spans="1:10" s="30" customFormat="1" ht="17.25" customHeight="1">
      <c r="A64" s="19"/>
      <c r="B64" s="24"/>
      <c r="C64" s="31"/>
      <c r="D64" s="32"/>
      <c r="E64" s="36" t="s">
        <v>450</v>
      </c>
      <c r="F64" s="36" t="s">
        <v>449</v>
      </c>
      <c r="G64" s="34">
        <v>10845000</v>
      </c>
      <c r="H64" s="34">
        <v>13432000</v>
      </c>
      <c r="I64" s="28">
        <f t="shared" ref="I64:I69" si="14">G64-H64</f>
        <v>-2587000</v>
      </c>
      <c r="J64" s="52"/>
    </row>
    <row r="65" spans="1:10" s="30" customFormat="1" ht="17.25" customHeight="1">
      <c r="A65" s="19"/>
      <c r="B65" s="24"/>
      <c r="C65" s="31"/>
      <c r="D65" s="32"/>
      <c r="E65" s="36" t="s">
        <v>447</v>
      </c>
      <c r="F65" s="36" t="s">
        <v>448</v>
      </c>
      <c r="G65" s="34">
        <v>4080000</v>
      </c>
      <c r="H65" s="34">
        <v>5000000</v>
      </c>
      <c r="I65" s="28">
        <f t="shared" si="14"/>
        <v>-920000</v>
      </c>
      <c r="J65" s="52"/>
    </row>
    <row r="66" spans="1:10" s="30" customFormat="1" ht="17.25" customHeight="1">
      <c r="A66" s="19"/>
      <c r="B66" s="24"/>
      <c r="C66" s="31"/>
      <c r="D66" s="32"/>
      <c r="E66" s="36" t="s">
        <v>445</v>
      </c>
      <c r="F66" s="36" t="s">
        <v>444</v>
      </c>
      <c r="G66" s="34">
        <f>ROUNDDOWN(4368000/10,-1)</f>
        <v>436800</v>
      </c>
      <c r="H66" s="34">
        <v>2686000</v>
      </c>
      <c r="I66" s="28">
        <f t="shared" si="14"/>
        <v>-2249200</v>
      </c>
      <c r="J66" s="52"/>
    </row>
    <row r="67" spans="1:10" s="30" customFormat="1" ht="17.25" customHeight="1">
      <c r="A67" s="19"/>
      <c r="B67" s="24"/>
      <c r="C67" s="31"/>
      <c r="D67" s="32"/>
      <c r="E67" s="48" t="s">
        <v>443</v>
      </c>
      <c r="F67" s="48" t="s">
        <v>442</v>
      </c>
      <c r="G67" s="49">
        <f>ROUNDDOWN(10140000/10,-1)</f>
        <v>1014000</v>
      </c>
      <c r="H67" s="49">
        <v>4200000</v>
      </c>
      <c r="I67" s="28">
        <f t="shared" si="14"/>
        <v>-3186000</v>
      </c>
      <c r="J67" s="69"/>
    </row>
    <row r="68" spans="1:10" s="30" customFormat="1" ht="17.25" customHeight="1">
      <c r="A68" s="19"/>
      <c r="B68" s="24"/>
      <c r="C68" s="31"/>
      <c r="D68" s="32"/>
      <c r="E68" s="36" t="s">
        <v>441</v>
      </c>
      <c r="F68" s="48" t="s">
        <v>68</v>
      </c>
      <c r="G68" s="34">
        <v>20100000</v>
      </c>
      <c r="H68" s="34">
        <v>26875000</v>
      </c>
      <c r="I68" s="28">
        <f t="shared" si="14"/>
        <v>-6775000</v>
      </c>
      <c r="J68" s="52"/>
    </row>
    <row r="69" spans="1:10" s="30" customFormat="1" ht="17.25" customHeight="1">
      <c r="A69" s="19"/>
      <c r="B69" s="24"/>
      <c r="C69" s="31"/>
      <c r="D69" s="32"/>
      <c r="E69" s="36" t="s">
        <v>556</v>
      </c>
      <c r="F69" s="36" t="s">
        <v>446</v>
      </c>
      <c r="G69" s="34">
        <v>280000</v>
      </c>
      <c r="H69" s="34">
        <v>320000</v>
      </c>
      <c r="I69" s="28">
        <f t="shared" si="14"/>
        <v>-40000</v>
      </c>
      <c r="J69" s="52"/>
    </row>
    <row r="70" spans="1:10" s="30" customFormat="1" ht="17.25" customHeight="1">
      <c r="A70" s="19"/>
      <c r="B70" s="24"/>
      <c r="C70" s="161" t="s">
        <v>69</v>
      </c>
      <c r="D70" s="162"/>
      <c r="E70" s="162"/>
      <c r="F70" s="43"/>
      <c r="G70" s="22">
        <f>G71+G75</f>
        <v>137874000</v>
      </c>
      <c r="H70" s="22">
        <f t="shared" ref="H70:I70" si="15">H71+H75</f>
        <v>191297000</v>
      </c>
      <c r="I70" s="22">
        <f t="shared" si="15"/>
        <v>-53423000</v>
      </c>
      <c r="J70" s="119"/>
    </row>
    <row r="71" spans="1:10" s="30" customFormat="1" ht="17.25" customHeight="1">
      <c r="A71" s="19"/>
      <c r="B71" s="24"/>
      <c r="C71" s="25"/>
      <c r="D71" s="182" t="s">
        <v>292</v>
      </c>
      <c r="E71" s="182"/>
      <c r="F71" s="42"/>
      <c r="G71" s="50">
        <f>SUM(G72:G74)</f>
        <v>128000000</v>
      </c>
      <c r="H71" s="50">
        <f t="shared" ref="H71:I71" si="16">SUM(H72:H74)</f>
        <v>178386000</v>
      </c>
      <c r="I71" s="50">
        <f t="shared" si="16"/>
        <v>-50386000</v>
      </c>
      <c r="J71" s="122"/>
    </row>
    <row r="72" spans="1:10" s="30" customFormat="1" ht="17.25" customHeight="1">
      <c r="A72" s="19"/>
      <c r="B72" s="24"/>
      <c r="C72" s="31"/>
      <c r="D72" s="51"/>
      <c r="E72" s="48" t="s">
        <v>292</v>
      </c>
      <c r="F72" s="49" t="s">
        <v>440</v>
      </c>
      <c r="G72" s="49">
        <v>18000000</v>
      </c>
      <c r="H72" s="49">
        <f>27374000+4000000+31500000</f>
        <v>62874000</v>
      </c>
      <c r="I72" s="28">
        <f>G72-H72</f>
        <v>-44874000</v>
      </c>
      <c r="J72" s="69" t="s">
        <v>639</v>
      </c>
    </row>
    <row r="73" spans="1:10" s="30" customFormat="1" ht="17.25" customHeight="1">
      <c r="A73" s="19"/>
      <c r="B73" s="24"/>
      <c r="C73" s="31"/>
      <c r="D73" s="24"/>
      <c r="E73" s="48" t="s">
        <v>292</v>
      </c>
      <c r="F73" s="49" t="s">
        <v>439</v>
      </c>
      <c r="G73" s="49">
        <f>30000000+60000000</f>
        <v>90000000</v>
      </c>
      <c r="H73" s="49">
        <f>69592000+18000000</f>
        <v>87592000</v>
      </c>
      <c r="I73" s="28">
        <f t="shared" ref="I73:I74" si="17">G73-H73</f>
        <v>2408000</v>
      </c>
      <c r="J73" s="69"/>
    </row>
    <row r="74" spans="1:10" s="30" customFormat="1" ht="17.25" customHeight="1">
      <c r="A74" s="19"/>
      <c r="B74" s="24"/>
      <c r="C74" s="31"/>
      <c r="D74" s="33"/>
      <c r="E74" s="48" t="s">
        <v>292</v>
      </c>
      <c r="F74" s="49" t="s">
        <v>438</v>
      </c>
      <c r="G74" s="49">
        <v>20000000</v>
      </c>
      <c r="H74" s="49">
        <f>18920000+9000000</f>
        <v>27920000</v>
      </c>
      <c r="I74" s="28">
        <f t="shared" si="17"/>
        <v>-7920000</v>
      </c>
      <c r="J74" s="69"/>
    </row>
    <row r="75" spans="1:10" s="30" customFormat="1" ht="17.25" customHeight="1">
      <c r="A75" s="19"/>
      <c r="B75" s="24"/>
      <c r="C75" s="31"/>
      <c r="D75" s="175" t="s">
        <v>70</v>
      </c>
      <c r="E75" s="175"/>
      <c r="F75" s="26"/>
      <c r="G75" s="27">
        <f>SUM(G76:G81)</f>
        <v>9874000</v>
      </c>
      <c r="H75" s="27">
        <f t="shared" ref="H75:I75" si="18">SUM(H76:H81)</f>
        <v>12911000</v>
      </c>
      <c r="I75" s="27">
        <f t="shared" si="18"/>
        <v>-3037000</v>
      </c>
      <c r="J75" s="120"/>
    </row>
    <row r="76" spans="1:10" s="30" customFormat="1" ht="17.25" customHeight="1">
      <c r="A76" s="19"/>
      <c r="B76" s="24"/>
      <c r="C76" s="31"/>
      <c r="D76" s="32"/>
      <c r="E76" s="48" t="s">
        <v>291</v>
      </c>
      <c r="F76" s="49" t="s">
        <v>542</v>
      </c>
      <c r="G76" s="49">
        <v>3100000</v>
      </c>
      <c r="H76" s="49">
        <v>4100000</v>
      </c>
      <c r="I76" s="28">
        <f t="shared" ref="I76:I81" si="19">G76-H76</f>
        <v>-1000000</v>
      </c>
      <c r="J76" s="69"/>
    </row>
    <row r="77" spans="1:10" s="30" customFormat="1" ht="17.25" customHeight="1">
      <c r="A77" s="19"/>
      <c r="B77" s="24"/>
      <c r="C77" s="31"/>
      <c r="D77" s="32"/>
      <c r="E77" s="48" t="s">
        <v>30</v>
      </c>
      <c r="F77" s="49" t="s">
        <v>543</v>
      </c>
      <c r="G77" s="49">
        <v>1200000</v>
      </c>
      <c r="H77" s="49">
        <v>2102000</v>
      </c>
      <c r="I77" s="28">
        <f t="shared" si="19"/>
        <v>-902000</v>
      </c>
      <c r="J77" s="69"/>
    </row>
    <row r="78" spans="1:10" s="30" customFormat="1" ht="17.25" customHeight="1">
      <c r="A78" s="19"/>
      <c r="B78" s="24"/>
      <c r="C78" s="31"/>
      <c r="D78" s="32"/>
      <c r="E78" s="48" t="s">
        <v>32</v>
      </c>
      <c r="F78" s="49" t="s">
        <v>545</v>
      </c>
      <c r="G78" s="49">
        <f>3900000/10</f>
        <v>390000</v>
      </c>
      <c r="H78" s="49">
        <v>800000</v>
      </c>
      <c r="I78" s="28">
        <f t="shared" si="19"/>
        <v>-410000</v>
      </c>
      <c r="J78" s="69"/>
    </row>
    <row r="79" spans="1:10" s="30" customFormat="1" ht="17.25" customHeight="1">
      <c r="A79" s="19"/>
      <c r="B79" s="24"/>
      <c r="C79" s="31"/>
      <c r="D79" s="32"/>
      <c r="E79" s="48" t="s">
        <v>289</v>
      </c>
      <c r="F79" s="49" t="s">
        <v>546</v>
      </c>
      <c r="G79" s="49">
        <f>(3060000+5780000)/10</f>
        <v>884000</v>
      </c>
      <c r="H79" s="49">
        <v>1145000</v>
      </c>
      <c r="I79" s="28">
        <f t="shared" si="19"/>
        <v>-261000</v>
      </c>
      <c r="J79" s="69"/>
    </row>
    <row r="80" spans="1:10" s="30" customFormat="1" ht="17.25" customHeight="1">
      <c r="A80" s="19"/>
      <c r="B80" s="24"/>
      <c r="C80" s="31"/>
      <c r="D80" s="32"/>
      <c r="E80" s="48" t="s">
        <v>413</v>
      </c>
      <c r="F80" s="49" t="s">
        <v>547</v>
      </c>
      <c r="G80" s="49">
        <v>4200000</v>
      </c>
      <c r="H80" s="49">
        <v>4375000</v>
      </c>
      <c r="I80" s="28">
        <f t="shared" si="19"/>
        <v>-175000</v>
      </c>
      <c r="J80" s="69"/>
    </row>
    <row r="81" spans="1:11" s="30" customFormat="1" ht="17.25" customHeight="1">
      <c r="A81" s="19"/>
      <c r="B81" s="24"/>
      <c r="C81" s="31"/>
      <c r="D81" s="32"/>
      <c r="E81" s="48" t="s">
        <v>557</v>
      </c>
      <c r="F81" s="49" t="s">
        <v>544</v>
      </c>
      <c r="G81" s="49">
        <v>100000</v>
      </c>
      <c r="H81" s="49">
        <v>389000</v>
      </c>
      <c r="I81" s="28">
        <f t="shared" si="19"/>
        <v>-289000</v>
      </c>
      <c r="J81" s="69"/>
    </row>
    <row r="82" spans="1:11" s="30" customFormat="1" ht="17.25" customHeight="1">
      <c r="A82" s="19"/>
      <c r="B82" s="24"/>
      <c r="C82" s="161" t="s">
        <v>501</v>
      </c>
      <c r="D82" s="162"/>
      <c r="E82" s="162"/>
      <c r="F82" s="43"/>
      <c r="G82" s="44">
        <f>G83+G87</f>
        <v>40500000</v>
      </c>
      <c r="H82" s="44">
        <f t="shared" ref="H82:I82" si="20">H83+H87</f>
        <v>41100000</v>
      </c>
      <c r="I82" s="44">
        <f t="shared" si="20"/>
        <v>-600000</v>
      </c>
      <c r="J82" s="119"/>
    </row>
    <row r="83" spans="1:11" s="30" customFormat="1" ht="17.25" customHeight="1">
      <c r="A83" s="19"/>
      <c r="B83" s="24"/>
      <c r="C83" s="24"/>
      <c r="D83" s="179" t="s">
        <v>552</v>
      </c>
      <c r="E83" s="175"/>
      <c r="F83" s="26"/>
      <c r="G83" s="45">
        <f>SUM(G84:G86)</f>
        <v>37800000</v>
      </c>
      <c r="H83" s="45">
        <f t="shared" ref="H83:I83" si="21">SUM(H84:H86)</f>
        <v>38400000</v>
      </c>
      <c r="I83" s="45">
        <f t="shared" si="21"/>
        <v>-600000</v>
      </c>
      <c r="J83" s="120"/>
    </row>
    <row r="84" spans="1:11" s="30" customFormat="1" ht="17.25" customHeight="1">
      <c r="A84" s="19"/>
      <c r="B84" s="24"/>
      <c r="C84" s="24"/>
      <c r="D84" s="24"/>
      <c r="E84" s="26" t="s">
        <v>66</v>
      </c>
      <c r="F84" s="26" t="s">
        <v>66</v>
      </c>
      <c r="G84" s="34">
        <f>30600000+1080000+6120000</f>
        <v>37800000</v>
      </c>
      <c r="H84" s="34">
        <f>31000000</f>
        <v>31000000</v>
      </c>
      <c r="I84" s="28">
        <f>G84-H84</f>
        <v>6800000</v>
      </c>
      <c r="J84" s="121"/>
    </row>
    <row r="85" spans="1:11" s="30" customFormat="1" ht="17.25" customHeight="1">
      <c r="A85" s="19"/>
      <c r="B85" s="24"/>
      <c r="C85" s="24"/>
      <c r="D85" s="24"/>
      <c r="E85" s="26" t="s">
        <v>453</v>
      </c>
      <c r="F85" s="26" t="s">
        <v>453</v>
      </c>
      <c r="G85" s="34">
        <v>0</v>
      </c>
      <c r="H85" s="34">
        <v>1200000</v>
      </c>
      <c r="I85" s="28">
        <f t="shared" ref="I85:I86" si="22">G85-H85</f>
        <v>-1200000</v>
      </c>
      <c r="J85" s="121" t="s">
        <v>558</v>
      </c>
    </row>
    <row r="86" spans="1:11" s="30" customFormat="1" ht="17.25" customHeight="1">
      <c r="A86" s="19"/>
      <c r="B86" s="24"/>
      <c r="C86" s="24"/>
      <c r="D86" s="24"/>
      <c r="E86" s="26" t="s">
        <v>454</v>
      </c>
      <c r="F86" s="26" t="s">
        <v>454</v>
      </c>
      <c r="G86" s="34">
        <v>0</v>
      </c>
      <c r="H86" s="34">
        <v>6200000</v>
      </c>
      <c r="I86" s="28">
        <f t="shared" si="22"/>
        <v>-6200000</v>
      </c>
      <c r="J86" s="121" t="s">
        <v>558</v>
      </c>
    </row>
    <row r="87" spans="1:11" s="30" customFormat="1" ht="17.25" customHeight="1">
      <c r="A87" s="19"/>
      <c r="B87" s="24"/>
      <c r="C87" s="24"/>
      <c r="D87" s="179" t="s">
        <v>552</v>
      </c>
      <c r="E87" s="175"/>
      <c r="F87" s="26"/>
      <c r="G87" s="45">
        <f>SUM(G88:G89)</f>
        <v>2700000</v>
      </c>
      <c r="H87" s="45">
        <f t="shared" ref="H87:I87" si="23">SUM(H88:H89)</f>
        <v>2700000</v>
      </c>
      <c r="I87" s="45">
        <f t="shared" si="23"/>
        <v>0</v>
      </c>
      <c r="J87" s="120"/>
    </row>
    <row r="88" spans="1:11" s="30" customFormat="1" ht="17.25" customHeight="1">
      <c r="A88" s="19"/>
      <c r="B88" s="24"/>
      <c r="C88" s="24"/>
      <c r="D88" s="24"/>
      <c r="E88" s="33" t="s">
        <v>453</v>
      </c>
      <c r="F88" s="42" t="s">
        <v>453</v>
      </c>
      <c r="G88" s="46">
        <v>240000</v>
      </c>
      <c r="H88" s="46">
        <v>240000</v>
      </c>
      <c r="I88" s="28">
        <f>G88-H88</f>
        <v>0</v>
      </c>
      <c r="J88" s="122"/>
    </row>
    <row r="89" spans="1:11" s="30" customFormat="1" ht="17.25" customHeight="1">
      <c r="A89" s="19"/>
      <c r="B89" s="24"/>
      <c r="C89" s="24"/>
      <c r="D89" s="24"/>
      <c r="E89" s="20" t="s">
        <v>67</v>
      </c>
      <c r="F89" s="25" t="s">
        <v>67</v>
      </c>
      <c r="G89" s="47">
        <v>2460000</v>
      </c>
      <c r="H89" s="47">
        <v>2460000</v>
      </c>
      <c r="I89" s="28">
        <f>G89-H89</f>
        <v>0</v>
      </c>
      <c r="J89" s="123"/>
    </row>
    <row r="90" spans="1:11" s="30" customFormat="1" ht="17.25" customHeight="1">
      <c r="A90" s="19"/>
      <c r="B90" s="176" t="s">
        <v>71</v>
      </c>
      <c r="C90" s="177"/>
      <c r="D90" s="177"/>
      <c r="E90" s="177"/>
      <c r="F90" s="16"/>
      <c r="G90" s="53">
        <f>G91+G99+G114</f>
        <v>115000000</v>
      </c>
      <c r="H90" s="53">
        <f t="shared" ref="H90:I90" si="24">H91+H99+H114</f>
        <v>105706000</v>
      </c>
      <c r="I90" s="53">
        <f t="shared" si="24"/>
        <v>9294000</v>
      </c>
      <c r="J90" s="118"/>
    </row>
    <row r="91" spans="1:11" s="30" customFormat="1" ht="17.25" customHeight="1">
      <c r="A91" s="19"/>
      <c r="B91" s="24"/>
      <c r="C91" s="161" t="s">
        <v>503</v>
      </c>
      <c r="D91" s="162"/>
      <c r="E91" s="162"/>
      <c r="F91" s="43"/>
      <c r="G91" s="44">
        <f>G92+G95+G97</f>
        <v>32000000</v>
      </c>
      <c r="H91" s="44">
        <f t="shared" ref="H91:I91" si="25">H92+H95+H97</f>
        <v>33706000</v>
      </c>
      <c r="I91" s="44">
        <f t="shared" si="25"/>
        <v>-1706000</v>
      </c>
      <c r="J91" s="119"/>
    </row>
    <row r="92" spans="1:11" s="30" customFormat="1" ht="17.25" customHeight="1">
      <c r="A92" s="19"/>
      <c r="B92" s="24"/>
      <c r="C92" s="24"/>
      <c r="D92" s="179" t="s">
        <v>559</v>
      </c>
      <c r="E92" s="175"/>
      <c r="F92" s="48"/>
      <c r="G92" s="54">
        <f>SUM(G93:G94)</f>
        <v>17000000</v>
      </c>
      <c r="H92" s="54">
        <f t="shared" ref="H92:I92" si="26">SUM(H93:H94)</f>
        <v>14876000</v>
      </c>
      <c r="I92" s="54">
        <f t="shared" si="26"/>
        <v>2124000</v>
      </c>
      <c r="J92" s="69"/>
    </row>
    <row r="93" spans="1:11" s="30" customFormat="1" ht="17.25" customHeight="1">
      <c r="A93" s="19"/>
      <c r="B93" s="24"/>
      <c r="C93" s="24"/>
      <c r="D93" s="24"/>
      <c r="E93" s="26" t="s">
        <v>560</v>
      </c>
      <c r="F93" s="26" t="s">
        <v>561</v>
      </c>
      <c r="G93" s="27">
        <v>12000000</v>
      </c>
      <c r="H93" s="27">
        <v>12500000</v>
      </c>
      <c r="I93" s="28">
        <f>G93-H93</f>
        <v>-500000</v>
      </c>
      <c r="J93" s="120"/>
    </row>
    <row r="94" spans="1:11" s="30" customFormat="1" ht="17.25" customHeight="1">
      <c r="A94" s="19"/>
      <c r="B94" s="24"/>
      <c r="C94" s="31"/>
      <c r="D94" s="42"/>
      <c r="E94" s="35" t="s">
        <v>435</v>
      </c>
      <c r="F94" s="26" t="s">
        <v>437</v>
      </c>
      <c r="G94" s="27">
        <v>5000000</v>
      </c>
      <c r="H94" s="27">
        <v>2376000</v>
      </c>
      <c r="I94" s="28">
        <f>G94-H94</f>
        <v>2624000</v>
      </c>
      <c r="J94" s="120" t="s">
        <v>642</v>
      </c>
      <c r="K94" s="30" t="s">
        <v>643</v>
      </c>
    </row>
    <row r="95" spans="1:11" s="30" customFormat="1" ht="17.25" customHeight="1">
      <c r="A95" s="19"/>
      <c r="B95" s="24"/>
      <c r="C95" s="31"/>
      <c r="D95" s="179" t="s">
        <v>88</v>
      </c>
      <c r="E95" s="175"/>
      <c r="F95" s="48"/>
      <c r="G95" s="54">
        <f>SUM(G96)</f>
        <v>15000000</v>
      </c>
      <c r="H95" s="54">
        <f t="shared" ref="H95:I95" si="27">SUM(H96)</f>
        <v>18130000</v>
      </c>
      <c r="I95" s="54">
        <f t="shared" si="27"/>
        <v>-3130000</v>
      </c>
      <c r="J95" s="69"/>
    </row>
    <row r="96" spans="1:11" s="30" customFormat="1" ht="17.25" customHeight="1">
      <c r="A96" s="19"/>
      <c r="B96" s="24"/>
      <c r="C96" s="31"/>
      <c r="D96" s="26"/>
      <c r="E96" s="35" t="s">
        <v>269</v>
      </c>
      <c r="F96" s="26" t="s">
        <v>434</v>
      </c>
      <c r="G96" s="27">
        <v>15000000</v>
      </c>
      <c r="H96" s="27">
        <f>15000000+3130000</f>
        <v>18130000</v>
      </c>
      <c r="I96" s="28">
        <f>G96-H96</f>
        <v>-3130000</v>
      </c>
      <c r="J96" s="120"/>
    </row>
    <row r="97" spans="1:10" s="30" customFormat="1" ht="17.25" customHeight="1">
      <c r="A97" s="19"/>
      <c r="B97" s="24"/>
      <c r="C97" s="31"/>
      <c r="D97" s="179" t="s">
        <v>436</v>
      </c>
      <c r="E97" s="175"/>
      <c r="F97" s="48"/>
      <c r="G97" s="54">
        <f>SUM(G98)</f>
        <v>0</v>
      </c>
      <c r="H97" s="54">
        <f t="shared" ref="H97:I97" si="28">SUM(H98)</f>
        <v>700000</v>
      </c>
      <c r="I97" s="54">
        <f t="shared" si="28"/>
        <v>-700000</v>
      </c>
      <c r="J97" s="69"/>
    </row>
    <row r="98" spans="1:10" s="30" customFormat="1" ht="17.25" customHeight="1">
      <c r="A98" s="19"/>
      <c r="B98" s="24"/>
      <c r="C98" s="42"/>
      <c r="D98" s="26"/>
      <c r="E98" s="35" t="s">
        <v>435</v>
      </c>
      <c r="F98" s="26" t="s">
        <v>72</v>
      </c>
      <c r="G98" s="27">
        <v>0</v>
      </c>
      <c r="H98" s="27">
        <v>700000</v>
      </c>
      <c r="I98" s="28">
        <f>G98-H98</f>
        <v>-700000</v>
      </c>
      <c r="J98" s="120"/>
    </row>
    <row r="99" spans="1:10" s="30" customFormat="1" ht="17.25" customHeight="1">
      <c r="A99" s="19"/>
      <c r="B99" s="24"/>
      <c r="C99" s="193" t="s">
        <v>504</v>
      </c>
      <c r="D99" s="193"/>
      <c r="E99" s="161"/>
      <c r="F99" s="43"/>
      <c r="G99" s="44">
        <f>G100+G110+G112</f>
        <v>49000000</v>
      </c>
      <c r="H99" s="44">
        <f t="shared" ref="H99:I99" si="29">H100+H110+H112</f>
        <v>39000000</v>
      </c>
      <c r="I99" s="44">
        <f t="shared" si="29"/>
        <v>10000000</v>
      </c>
      <c r="J99" s="119"/>
    </row>
    <row r="100" spans="1:10" s="30" customFormat="1" ht="17.25" customHeight="1">
      <c r="A100" s="19"/>
      <c r="B100" s="24"/>
      <c r="C100" s="25"/>
      <c r="D100" s="179" t="s">
        <v>563</v>
      </c>
      <c r="E100" s="175"/>
      <c r="F100" s="48"/>
      <c r="G100" s="54">
        <f>SUM(G101:G109)</f>
        <v>15000000</v>
      </c>
      <c r="H100" s="54">
        <f t="shared" ref="H100:I100" si="30">SUM(H101:H109)</f>
        <v>15000000</v>
      </c>
      <c r="I100" s="54">
        <f t="shared" si="30"/>
        <v>0</v>
      </c>
      <c r="J100" s="69"/>
    </row>
    <row r="101" spans="1:10" s="30" customFormat="1" ht="17.25" customHeight="1">
      <c r="A101" s="19"/>
      <c r="B101" s="24"/>
      <c r="C101" s="31"/>
      <c r="D101" s="25"/>
      <c r="E101" s="26" t="s">
        <v>363</v>
      </c>
      <c r="F101" s="26" t="s">
        <v>433</v>
      </c>
      <c r="G101" s="34">
        <v>2200000</v>
      </c>
      <c r="H101" s="34">
        <v>2200000</v>
      </c>
      <c r="I101" s="28">
        <f t="shared" ref="I101:I109" si="31">G101-H101</f>
        <v>0</v>
      </c>
      <c r="J101" s="52"/>
    </row>
    <row r="102" spans="1:10" s="30" customFormat="1" ht="17.25" customHeight="1">
      <c r="A102" s="19"/>
      <c r="B102" s="24"/>
      <c r="C102" s="31"/>
      <c r="D102" s="31"/>
      <c r="E102" s="26" t="s">
        <v>363</v>
      </c>
      <c r="F102" s="26" t="s">
        <v>432</v>
      </c>
      <c r="G102" s="34">
        <v>1600000</v>
      </c>
      <c r="H102" s="34">
        <v>1600000</v>
      </c>
      <c r="I102" s="28">
        <f t="shared" si="31"/>
        <v>0</v>
      </c>
      <c r="J102" s="52"/>
    </row>
    <row r="103" spans="1:10" s="30" customFormat="1" ht="17.25" customHeight="1">
      <c r="A103" s="19"/>
      <c r="B103" s="24"/>
      <c r="C103" s="31"/>
      <c r="D103" s="31"/>
      <c r="E103" s="26" t="s">
        <v>363</v>
      </c>
      <c r="F103" s="26" t="s">
        <v>56</v>
      </c>
      <c r="G103" s="34">
        <v>800000</v>
      </c>
      <c r="H103" s="34">
        <v>800000</v>
      </c>
      <c r="I103" s="28">
        <f t="shared" si="31"/>
        <v>0</v>
      </c>
      <c r="J103" s="52"/>
    </row>
    <row r="104" spans="1:10" s="30" customFormat="1" ht="17.25" customHeight="1">
      <c r="A104" s="19"/>
      <c r="B104" s="24"/>
      <c r="C104" s="31"/>
      <c r="D104" s="31"/>
      <c r="E104" s="26" t="s">
        <v>363</v>
      </c>
      <c r="F104" s="26" t="s">
        <v>431</v>
      </c>
      <c r="G104" s="34">
        <v>2400000</v>
      </c>
      <c r="H104" s="34">
        <v>2400000</v>
      </c>
      <c r="I104" s="28">
        <f t="shared" si="31"/>
        <v>0</v>
      </c>
      <c r="J104" s="52"/>
    </row>
    <row r="105" spans="1:10" s="30" customFormat="1" ht="17.25" customHeight="1">
      <c r="A105" s="19"/>
      <c r="B105" s="24"/>
      <c r="C105" s="31"/>
      <c r="D105" s="31"/>
      <c r="E105" s="26" t="s">
        <v>363</v>
      </c>
      <c r="F105" s="26" t="s">
        <v>57</v>
      </c>
      <c r="G105" s="34">
        <v>1400000</v>
      </c>
      <c r="H105" s="34">
        <v>1400000</v>
      </c>
      <c r="I105" s="28">
        <f t="shared" si="31"/>
        <v>0</v>
      </c>
      <c r="J105" s="52"/>
    </row>
    <row r="106" spans="1:10" s="30" customFormat="1" ht="17.25" customHeight="1">
      <c r="A106" s="19"/>
      <c r="B106" s="24"/>
      <c r="C106" s="31"/>
      <c r="D106" s="31"/>
      <c r="E106" s="35" t="s">
        <v>363</v>
      </c>
      <c r="F106" s="26" t="s">
        <v>58</v>
      </c>
      <c r="G106" s="34">
        <v>1200000</v>
      </c>
      <c r="H106" s="34">
        <v>1200000</v>
      </c>
      <c r="I106" s="28">
        <f t="shared" si="31"/>
        <v>0</v>
      </c>
      <c r="J106" s="52"/>
    </row>
    <row r="107" spans="1:10" s="30" customFormat="1" ht="17.25" customHeight="1">
      <c r="A107" s="19"/>
      <c r="B107" s="24"/>
      <c r="C107" s="31"/>
      <c r="D107" s="31"/>
      <c r="E107" s="35" t="s">
        <v>363</v>
      </c>
      <c r="F107" s="26" t="s">
        <v>59</v>
      </c>
      <c r="G107" s="55">
        <v>1400000</v>
      </c>
      <c r="H107" s="55">
        <v>1400000</v>
      </c>
      <c r="I107" s="28">
        <f t="shared" si="31"/>
        <v>0</v>
      </c>
      <c r="J107" s="52"/>
    </row>
    <row r="108" spans="1:10" s="30" customFormat="1" ht="17.25" customHeight="1">
      <c r="A108" s="19"/>
      <c r="B108" s="24"/>
      <c r="C108" s="31"/>
      <c r="D108" s="31"/>
      <c r="E108" s="35" t="s">
        <v>363</v>
      </c>
      <c r="F108" s="26" t="s">
        <v>60</v>
      </c>
      <c r="G108" s="55">
        <v>1400000</v>
      </c>
      <c r="H108" s="55">
        <v>1400000</v>
      </c>
      <c r="I108" s="28">
        <f t="shared" si="31"/>
        <v>0</v>
      </c>
      <c r="J108" s="52"/>
    </row>
    <row r="109" spans="1:10" s="30" customFormat="1" ht="17.25" customHeight="1">
      <c r="A109" s="19"/>
      <c r="B109" s="24"/>
      <c r="C109" s="31"/>
      <c r="D109" s="42"/>
      <c r="E109" s="35" t="s">
        <v>363</v>
      </c>
      <c r="F109" s="26" t="s">
        <v>430</v>
      </c>
      <c r="G109" s="55">
        <v>2600000</v>
      </c>
      <c r="H109" s="55">
        <v>2600000</v>
      </c>
      <c r="I109" s="28">
        <f t="shared" si="31"/>
        <v>0</v>
      </c>
      <c r="J109" s="52"/>
    </row>
    <row r="110" spans="1:10" s="30" customFormat="1" ht="17.25" customHeight="1">
      <c r="A110" s="19"/>
      <c r="B110" s="24"/>
      <c r="C110" s="31"/>
      <c r="D110" s="181" t="s">
        <v>559</v>
      </c>
      <c r="E110" s="175"/>
      <c r="F110" s="48"/>
      <c r="G110" s="54">
        <f>SUM(G111)</f>
        <v>24000000</v>
      </c>
      <c r="H110" s="54">
        <f t="shared" ref="H110:I110" si="32">SUM(H111)</f>
        <v>24000000</v>
      </c>
      <c r="I110" s="54">
        <f t="shared" si="32"/>
        <v>0</v>
      </c>
      <c r="J110" s="69"/>
    </row>
    <row r="111" spans="1:10" s="30" customFormat="1" ht="17.25" customHeight="1">
      <c r="A111" s="19"/>
      <c r="B111" s="24"/>
      <c r="C111" s="31"/>
      <c r="D111" s="26"/>
      <c r="E111" s="35" t="s">
        <v>564</v>
      </c>
      <c r="F111" s="26" t="s">
        <v>427</v>
      </c>
      <c r="G111" s="34">
        <v>24000000</v>
      </c>
      <c r="H111" s="34">
        <v>24000000</v>
      </c>
      <c r="I111" s="28">
        <f>G111-H111</f>
        <v>0</v>
      </c>
      <c r="J111" s="52"/>
    </row>
    <row r="112" spans="1:10" s="30" customFormat="1" ht="17.25" customHeight="1">
      <c r="A112" s="19"/>
      <c r="B112" s="24"/>
      <c r="C112" s="31"/>
      <c r="D112" s="179" t="s">
        <v>621</v>
      </c>
      <c r="E112" s="175"/>
      <c r="F112" s="26"/>
      <c r="G112" s="34">
        <f>SUM(G113)</f>
        <v>10000000</v>
      </c>
      <c r="H112" s="34">
        <f t="shared" ref="H112:I112" si="33">SUM(H113)</f>
        <v>0</v>
      </c>
      <c r="I112" s="34">
        <f t="shared" si="33"/>
        <v>10000000</v>
      </c>
      <c r="J112" s="52"/>
    </row>
    <row r="113" spans="1:11" s="30" customFormat="1" ht="17.25" customHeight="1">
      <c r="A113" s="19"/>
      <c r="B113" s="24"/>
      <c r="C113" s="42"/>
      <c r="D113" s="26"/>
      <c r="E113" s="35" t="s">
        <v>636</v>
      </c>
      <c r="F113" s="26"/>
      <c r="G113" s="34">
        <v>10000000</v>
      </c>
      <c r="H113" s="34">
        <v>0</v>
      </c>
      <c r="I113" s="28">
        <f>G113-H113</f>
        <v>10000000</v>
      </c>
      <c r="J113" s="52" t="s">
        <v>638</v>
      </c>
    </row>
    <row r="114" spans="1:11" s="30" customFormat="1" ht="17.25" customHeight="1">
      <c r="A114" s="19"/>
      <c r="B114" s="24"/>
      <c r="C114" s="193" t="s">
        <v>505</v>
      </c>
      <c r="D114" s="193"/>
      <c r="E114" s="161"/>
      <c r="F114" s="43"/>
      <c r="G114" s="22">
        <f>G115</f>
        <v>34000000</v>
      </c>
      <c r="H114" s="22">
        <f t="shared" ref="H114:I114" si="34">H115</f>
        <v>33000000</v>
      </c>
      <c r="I114" s="22">
        <f t="shared" si="34"/>
        <v>1000000</v>
      </c>
      <c r="J114" s="119"/>
    </row>
    <row r="115" spans="1:11" s="30" customFormat="1" ht="17.25" customHeight="1">
      <c r="A115" s="19"/>
      <c r="B115" s="24"/>
      <c r="C115" s="25"/>
      <c r="D115" s="179" t="s">
        <v>429</v>
      </c>
      <c r="E115" s="175"/>
      <c r="F115" s="48"/>
      <c r="G115" s="54">
        <f>SUM(G116)</f>
        <v>34000000</v>
      </c>
      <c r="H115" s="54">
        <f t="shared" ref="H115:I115" si="35">SUM(H116)</f>
        <v>33000000</v>
      </c>
      <c r="I115" s="54">
        <f t="shared" si="35"/>
        <v>1000000</v>
      </c>
      <c r="J115" s="69"/>
    </row>
    <row r="116" spans="1:11" s="30" customFormat="1" ht="17.25" customHeight="1">
      <c r="A116" s="19"/>
      <c r="B116" s="24"/>
      <c r="C116" s="42"/>
      <c r="D116" s="26"/>
      <c r="E116" s="35" t="s">
        <v>429</v>
      </c>
      <c r="F116" s="26" t="s">
        <v>428</v>
      </c>
      <c r="G116" s="34">
        <v>34000000</v>
      </c>
      <c r="H116" s="34">
        <v>33000000</v>
      </c>
      <c r="I116" s="28">
        <f>G116-H116</f>
        <v>1000000</v>
      </c>
      <c r="J116" s="52"/>
    </row>
    <row r="117" spans="1:11" s="30" customFormat="1" ht="17.25" customHeight="1">
      <c r="A117" s="187" t="s">
        <v>426</v>
      </c>
      <c r="B117" s="188"/>
      <c r="C117" s="188"/>
      <c r="D117" s="188"/>
      <c r="E117" s="188"/>
      <c r="F117" s="56"/>
      <c r="G117" s="57">
        <f>G118+G122+G176+G193+G197</f>
        <v>6800534000.333334</v>
      </c>
      <c r="H117" s="57">
        <f t="shared" ref="H117:I117" si="36">H118+H122+H176+H193+H197</f>
        <v>6843120000</v>
      </c>
      <c r="I117" s="57">
        <f t="shared" si="36"/>
        <v>-42585999.666666664</v>
      </c>
      <c r="J117" s="124"/>
    </row>
    <row r="118" spans="1:11" s="30" customFormat="1" ht="17.25" customHeight="1">
      <c r="A118" s="15"/>
      <c r="B118" s="176" t="s">
        <v>425</v>
      </c>
      <c r="C118" s="177"/>
      <c r="D118" s="177"/>
      <c r="E118" s="177"/>
      <c r="F118" s="16"/>
      <c r="G118" s="53">
        <f>G119</f>
        <v>3578764000</v>
      </c>
      <c r="H118" s="53">
        <f t="shared" ref="H118:I118" si="37">H119</f>
        <v>3576370000</v>
      </c>
      <c r="I118" s="53">
        <f t="shared" si="37"/>
        <v>2394000</v>
      </c>
      <c r="J118" s="118"/>
    </row>
    <row r="119" spans="1:11" s="30" customFormat="1" ht="17.25" customHeight="1">
      <c r="A119" s="15"/>
      <c r="B119" s="32"/>
      <c r="C119" s="161" t="s">
        <v>506</v>
      </c>
      <c r="D119" s="162"/>
      <c r="E119" s="162"/>
      <c r="F119" s="43"/>
      <c r="G119" s="44">
        <f>G120</f>
        <v>3578764000</v>
      </c>
      <c r="H119" s="44">
        <f t="shared" ref="H119:I119" si="38">H120</f>
        <v>3576370000</v>
      </c>
      <c r="I119" s="44">
        <f t="shared" si="38"/>
        <v>2394000</v>
      </c>
      <c r="J119" s="119"/>
    </row>
    <row r="120" spans="1:11" s="30" customFormat="1" ht="17.25" customHeight="1">
      <c r="A120" s="15"/>
      <c r="B120" s="32"/>
      <c r="C120" s="24"/>
      <c r="D120" s="181" t="s">
        <v>397</v>
      </c>
      <c r="E120" s="182"/>
      <c r="F120" s="42"/>
      <c r="G120" s="50">
        <f>SUM(G121)</f>
        <v>3578764000</v>
      </c>
      <c r="H120" s="50">
        <f t="shared" ref="H120:I120" si="39">SUM(H121)</f>
        <v>3576370000</v>
      </c>
      <c r="I120" s="50">
        <f t="shared" si="39"/>
        <v>2394000</v>
      </c>
      <c r="J120" s="122"/>
    </row>
    <row r="121" spans="1:11" s="30" customFormat="1" ht="17.25" customHeight="1">
      <c r="A121" s="15"/>
      <c r="B121" s="32"/>
      <c r="C121" s="24"/>
      <c r="D121" s="25"/>
      <c r="E121" s="20" t="s">
        <v>424</v>
      </c>
      <c r="F121" s="25" t="s">
        <v>22</v>
      </c>
      <c r="G121" s="47">
        <v>3578764000</v>
      </c>
      <c r="H121" s="47">
        <f>3476370000+100000000</f>
        <v>3576370000</v>
      </c>
      <c r="I121" s="28">
        <f>G121-H121</f>
        <v>2394000</v>
      </c>
      <c r="J121" s="123"/>
    </row>
    <row r="122" spans="1:11" s="30" customFormat="1" ht="17.25" customHeight="1">
      <c r="A122" s="15"/>
      <c r="B122" s="176" t="s">
        <v>423</v>
      </c>
      <c r="C122" s="177"/>
      <c r="D122" s="177"/>
      <c r="E122" s="178"/>
      <c r="F122" s="16"/>
      <c r="G122" s="53">
        <f>G123</f>
        <v>2960100000.3333335</v>
      </c>
      <c r="H122" s="53">
        <f t="shared" ref="H122:I122" si="40">H123</f>
        <v>2996200000</v>
      </c>
      <c r="I122" s="53">
        <f t="shared" si="40"/>
        <v>-36099999.666666664</v>
      </c>
      <c r="J122" s="118"/>
      <c r="K122" s="82"/>
    </row>
    <row r="123" spans="1:11" s="30" customFormat="1" ht="17.25" customHeight="1">
      <c r="A123" s="15"/>
      <c r="B123" s="32"/>
      <c r="C123" s="161" t="s">
        <v>507</v>
      </c>
      <c r="D123" s="162"/>
      <c r="E123" s="183"/>
      <c r="F123" s="43"/>
      <c r="G123" s="44">
        <f>G124+G126+G133+G141+G147+G150+G153+G158+G167+G169+G172+G174</f>
        <v>2960100000.3333335</v>
      </c>
      <c r="H123" s="44">
        <f t="shared" ref="H123:I123" si="41">H124+H126+H133+H141+H147+H150+H153+H158+H167+H169+H172+H174</f>
        <v>2996200000</v>
      </c>
      <c r="I123" s="44">
        <f t="shared" si="41"/>
        <v>-36099999.666666664</v>
      </c>
      <c r="J123" s="119"/>
      <c r="K123" s="84"/>
    </row>
    <row r="124" spans="1:11" s="30" customFormat="1" ht="17.25" customHeight="1">
      <c r="A124" s="15"/>
      <c r="B124" s="32"/>
      <c r="C124" s="24"/>
      <c r="D124" s="179" t="s">
        <v>422</v>
      </c>
      <c r="E124" s="180"/>
      <c r="F124" s="42"/>
      <c r="G124" s="50">
        <f>SUM(G125)</f>
        <v>601000000</v>
      </c>
      <c r="H124" s="50">
        <f t="shared" ref="H124:I124" si="42">SUM(H125)</f>
        <v>572556000</v>
      </c>
      <c r="I124" s="50">
        <f t="shared" si="42"/>
        <v>28444000</v>
      </c>
      <c r="J124" s="122"/>
    </row>
    <row r="125" spans="1:11" s="30" customFormat="1" ht="17.25" customHeight="1">
      <c r="A125" s="15"/>
      <c r="B125" s="32"/>
      <c r="C125" s="24"/>
      <c r="D125" s="26"/>
      <c r="E125" s="26" t="s">
        <v>292</v>
      </c>
      <c r="F125" s="26" t="s">
        <v>421</v>
      </c>
      <c r="G125" s="49">
        <f>(H125*1.05)-183800</f>
        <v>601000000</v>
      </c>
      <c r="H125" s="49">
        <f>572556000</f>
        <v>572556000</v>
      </c>
      <c r="I125" s="28">
        <f>G125-H125</f>
        <v>28444000</v>
      </c>
      <c r="J125" s="69" t="s">
        <v>420</v>
      </c>
    </row>
    <row r="126" spans="1:11" s="30" customFormat="1" ht="17.25" customHeight="1">
      <c r="A126" s="15"/>
      <c r="B126" s="32"/>
      <c r="C126" s="24"/>
      <c r="D126" s="179" t="s">
        <v>70</v>
      </c>
      <c r="E126" s="180"/>
      <c r="F126" s="26"/>
      <c r="G126" s="45">
        <f>SUM(G127:G132)</f>
        <v>99178000.333333343</v>
      </c>
      <c r="H126" s="45">
        <f t="shared" ref="H126:I126" si="43">SUM(H127:H132)</f>
        <v>95828000</v>
      </c>
      <c r="I126" s="45">
        <f t="shared" si="43"/>
        <v>3350000.3333333358</v>
      </c>
      <c r="J126" s="120"/>
    </row>
    <row r="127" spans="1:11" s="30" customFormat="1" ht="17.25" customHeight="1">
      <c r="A127" s="15"/>
      <c r="B127" s="32"/>
      <c r="C127" s="24"/>
      <c r="D127" s="24"/>
      <c r="E127" s="48" t="s">
        <v>291</v>
      </c>
      <c r="F127" s="49" t="s">
        <v>419</v>
      </c>
      <c r="G127" s="49">
        <f>ROUNDDOWN(G125*4.5/100,-1)</f>
        <v>27045000</v>
      </c>
      <c r="H127" s="49">
        <v>25765000</v>
      </c>
      <c r="I127" s="28">
        <f t="shared" ref="I127:I132" si="44">G127-H127</f>
        <v>1280000</v>
      </c>
      <c r="J127" s="69" t="s">
        <v>418</v>
      </c>
    </row>
    <row r="128" spans="1:11" s="30" customFormat="1" ht="17.25" customHeight="1">
      <c r="A128" s="15"/>
      <c r="B128" s="32"/>
      <c r="C128" s="24"/>
      <c r="D128" s="24"/>
      <c r="E128" s="48" t="s">
        <v>30</v>
      </c>
      <c r="F128" s="49" t="s">
        <v>417</v>
      </c>
      <c r="G128" s="49">
        <f>(G125*1.692/100)+31080</f>
        <v>10200000</v>
      </c>
      <c r="H128" s="49">
        <v>9155000</v>
      </c>
      <c r="I128" s="28">
        <f t="shared" si="44"/>
        <v>1045000</v>
      </c>
      <c r="J128" s="69" t="s">
        <v>411</v>
      </c>
    </row>
    <row r="129" spans="1:10" s="30" customFormat="1" ht="17.25" customHeight="1">
      <c r="A129" s="15"/>
      <c r="B129" s="32"/>
      <c r="C129" s="24"/>
      <c r="D129" s="24"/>
      <c r="E129" s="48" t="s">
        <v>32</v>
      </c>
      <c r="F129" s="49" t="s">
        <v>415</v>
      </c>
      <c r="G129" s="49">
        <f>(G125*5.6/1000)+34400</f>
        <v>3400000</v>
      </c>
      <c r="H129" s="49">
        <v>5153000</v>
      </c>
      <c r="I129" s="28">
        <f t="shared" si="44"/>
        <v>-1753000</v>
      </c>
      <c r="J129" s="69" t="s">
        <v>411</v>
      </c>
    </row>
    <row r="130" spans="1:10" s="30" customFormat="1" ht="17.25" customHeight="1">
      <c r="A130" s="15"/>
      <c r="B130" s="32"/>
      <c r="C130" s="24"/>
      <c r="D130" s="24"/>
      <c r="E130" s="48" t="s">
        <v>289</v>
      </c>
      <c r="F130" s="49" t="s">
        <v>414</v>
      </c>
      <c r="G130" s="49">
        <f>G125*13/1000</f>
        <v>7813000</v>
      </c>
      <c r="H130" s="49">
        <v>7443000</v>
      </c>
      <c r="I130" s="28">
        <f t="shared" si="44"/>
        <v>370000</v>
      </c>
      <c r="J130" s="69" t="s">
        <v>411</v>
      </c>
    </row>
    <row r="131" spans="1:10" s="30" customFormat="1" ht="17.25" customHeight="1">
      <c r="A131" s="15"/>
      <c r="B131" s="32"/>
      <c r="C131" s="24"/>
      <c r="D131" s="24"/>
      <c r="E131" s="48" t="s">
        <v>30</v>
      </c>
      <c r="F131" s="49" t="s">
        <v>416</v>
      </c>
      <c r="G131" s="49">
        <f>(G128*6.55/100)+1900</f>
        <v>670000</v>
      </c>
      <c r="H131" s="49">
        <v>599000</v>
      </c>
      <c r="I131" s="28">
        <f t="shared" si="44"/>
        <v>71000</v>
      </c>
      <c r="J131" s="69" t="s">
        <v>411</v>
      </c>
    </row>
    <row r="132" spans="1:10" s="30" customFormat="1" ht="17.25" customHeight="1">
      <c r="A132" s="15"/>
      <c r="B132" s="32"/>
      <c r="C132" s="24"/>
      <c r="D132" s="24"/>
      <c r="E132" s="48" t="s">
        <v>413</v>
      </c>
      <c r="F132" s="49" t="s">
        <v>412</v>
      </c>
      <c r="G132" s="49">
        <f>(G125/12)-33333</f>
        <v>50050000.333333336</v>
      </c>
      <c r="H132" s="49">
        <v>47713000</v>
      </c>
      <c r="I132" s="28">
        <f t="shared" si="44"/>
        <v>2337000.3333333358</v>
      </c>
      <c r="J132" s="69" t="s">
        <v>411</v>
      </c>
    </row>
    <row r="133" spans="1:10" s="30" customFormat="1" ht="17.25" customHeight="1">
      <c r="A133" s="15"/>
      <c r="B133" s="32"/>
      <c r="C133" s="24"/>
      <c r="D133" s="179" t="s">
        <v>407</v>
      </c>
      <c r="E133" s="180"/>
      <c r="F133" s="26"/>
      <c r="G133" s="27">
        <f>SUM(G134:G140)</f>
        <v>119600000</v>
      </c>
      <c r="H133" s="27">
        <f t="shared" ref="H133:I133" si="45">SUM(H134:H140)</f>
        <v>137400000</v>
      </c>
      <c r="I133" s="27">
        <f t="shared" si="45"/>
        <v>-17800000</v>
      </c>
      <c r="J133" s="120"/>
    </row>
    <row r="134" spans="1:10" s="30" customFormat="1" ht="17.25" customHeight="1">
      <c r="A134" s="15"/>
      <c r="B134" s="32"/>
      <c r="C134" s="24"/>
      <c r="D134" s="25"/>
      <c r="E134" s="145" t="s">
        <v>259</v>
      </c>
      <c r="F134" s="26" t="s">
        <v>410</v>
      </c>
      <c r="G134" s="34">
        <v>10000000</v>
      </c>
      <c r="H134" s="34">
        <v>19000000</v>
      </c>
      <c r="I134" s="28">
        <f>G134-H134</f>
        <v>-9000000</v>
      </c>
      <c r="J134" s="52"/>
    </row>
    <row r="135" spans="1:10" s="30" customFormat="1" ht="17.25" customHeight="1">
      <c r="A135" s="15"/>
      <c r="B135" s="32"/>
      <c r="C135" s="24"/>
      <c r="D135" s="31"/>
      <c r="E135" s="59" t="s">
        <v>253</v>
      </c>
      <c r="F135" s="25" t="s">
        <v>408</v>
      </c>
      <c r="G135" s="47">
        <v>2000000</v>
      </c>
      <c r="H135" s="47">
        <v>3800000</v>
      </c>
      <c r="I135" s="28">
        <f t="shared" ref="I135:I140" si="46">G135-H135</f>
        <v>-1800000</v>
      </c>
      <c r="J135" s="123"/>
    </row>
    <row r="136" spans="1:10" s="30" customFormat="1" ht="17.25" customHeight="1">
      <c r="A136" s="15"/>
      <c r="B136" s="32"/>
      <c r="C136" s="24"/>
      <c r="D136" s="31"/>
      <c r="E136" s="145" t="s">
        <v>73</v>
      </c>
      <c r="F136" s="26" t="s">
        <v>409</v>
      </c>
      <c r="G136" s="34">
        <v>90000000</v>
      </c>
      <c r="H136" s="34">
        <v>100000000</v>
      </c>
      <c r="I136" s="28">
        <f t="shared" si="46"/>
        <v>-10000000</v>
      </c>
      <c r="J136" s="52"/>
    </row>
    <row r="137" spans="1:10" s="30" customFormat="1" ht="17.25" customHeight="1">
      <c r="A137" s="15"/>
      <c r="B137" s="32"/>
      <c r="C137" s="24"/>
      <c r="D137" s="31"/>
      <c r="E137" s="145" t="s">
        <v>565</v>
      </c>
      <c r="F137" s="42" t="s">
        <v>566</v>
      </c>
      <c r="G137" s="83">
        <v>5000000</v>
      </c>
      <c r="H137" s="83">
        <v>0</v>
      </c>
      <c r="I137" s="28">
        <f t="shared" si="46"/>
        <v>5000000</v>
      </c>
      <c r="J137" s="146"/>
    </row>
    <row r="138" spans="1:10" s="30" customFormat="1" ht="17.25" customHeight="1">
      <c r="A138" s="15"/>
      <c r="B138" s="32"/>
      <c r="C138" s="24"/>
      <c r="D138" s="31"/>
      <c r="E138" s="70" t="s">
        <v>74</v>
      </c>
      <c r="F138" s="42" t="s">
        <v>406</v>
      </c>
      <c r="G138" s="46">
        <v>3600000</v>
      </c>
      <c r="H138" s="46">
        <v>3600000</v>
      </c>
      <c r="I138" s="28">
        <f t="shared" si="46"/>
        <v>0</v>
      </c>
      <c r="J138" s="122"/>
    </row>
    <row r="139" spans="1:10" s="30" customFormat="1" ht="17.25" customHeight="1">
      <c r="A139" s="15"/>
      <c r="B139" s="32"/>
      <c r="C139" s="24"/>
      <c r="D139" s="31"/>
      <c r="E139" s="81" t="s">
        <v>405</v>
      </c>
      <c r="F139" s="26" t="s">
        <v>567</v>
      </c>
      <c r="G139" s="27">
        <v>3000000</v>
      </c>
      <c r="H139" s="27">
        <f>1400000+1600000</f>
        <v>3000000</v>
      </c>
      <c r="I139" s="28">
        <f t="shared" si="46"/>
        <v>0</v>
      </c>
      <c r="J139" s="120"/>
    </row>
    <row r="140" spans="1:10" s="30" customFormat="1" ht="17.25" customHeight="1">
      <c r="A140" s="15"/>
      <c r="B140" s="32"/>
      <c r="C140" s="24"/>
      <c r="D140" s="42"/>
      <c r="E140" s="59" t="s">
        <v>10</v>
      </c>
      <c r="F140" s="26" t="s">
        <v>10</v>
      </c>
      <c r="G140" s="55">
        <v>6000000</v>
      </c>
      <c r="H140" s="55">
        <v>8000000</v>
      </c>
      <c r="I140" s="28">
        <f t="shared" si="46"/>
        <v>-2000000</v>
      </c>
      <c r="J140" s="52"/>
    </row>
    <row r="141" spans="1:10" s="30" customFormat="1" ht="17.25" customHeight="1">
      <c r="A141" s="15"/>
      <c r="B141" s="32"/>
      <c r="C141" s="24"/>
      <c r="D141" s="179" t="s">
        <v>404</v>
      </c>
      <c r="E141" s="180"/>
      <c r="F141" s="26"/>
      <c r="G141" s="27">
        <f>SUM(G142:G146)</f>
        <v>715800000</v>
      </c>
      <c r="H141" s="27">
        <f t="shared" ref="H141:I141" si="47">SUM(H142:H146)</f>
        <v>715800000</v>
      </c>
      <c r="I141" s="27">
        <f t="shared" si="47"/>
        <v>0</v>
      </c>
      <c r="J141" s="120"/>
    </row>
    <row r="142" spans="1:10" s="30" customFormat="1" ht="17.25" customHeight="1">
      <c r="A142" s="15"/>
      <c r="B142" s="32"/>
      <c r="C142" s="24"/>
      <c r="D142" s="25"/>
      <c r="E142" s="20" t="s">
        <v>271</v>
      </c>
      <c r="F142" s="25" t="s">
        <v>271</v>
      </c>
      <c r="G142" s="47">
        <v>60000000</v>
      </c>
      <c r="H142" s="47">
        <v>60000000</v>
      </c>
      <c r="I142" s="28">
        <f>G142-H142</f>
        <v>0</v>
      </c>
      <c r="J142" s="123"/>
    </row>
    <row r="143" spans="1:10" s="30" customFormat="1" ht="17.25" customHeight="1">
      <c r="A143" s="15"/>
      <c r="B143" s="32"/>
      <c r="C143" s="24"/>
      <c r="D143" s="24"/>
      <c r="E143" s="26" t="s">
        <v>278</v>
      </c>
      <c r="F143" s="26" t="s">
        <v>278</v>
      </c>
      <c r="G143" s="34">
        <v>323800000</v>
      </c>
      <c r="H143" s="34">
        <f>298800000+34000000-9000000</f>
        <v>323800000</v>
      </c>
      <c r="I143" s="28">
        <f t="shared" ref="I143:I146" si="48">G143-H143</f>
        <v>0</v>
      </c>
      <c r="J143" s="52"/>
    </row>
    <row r="144" spans="1:10" s="30" customFormat="1" ht="17.25" customHeight="1">
      <c r="A144" s="15"/>
      <c r="B144" s="32"/>
      <c r="C144" s="24"/>
      <c r="D144" s="24"/>
      <c r="E144" s="26" t="s">
        <v>277</v>
      </c>
      <c r="F144" s="26" t="s">
        <v>75</v>
      </c>
      <c r="G144" s="34">
        <v>101000000</v>
      </c>
      <c r="H144" s="34">
        <f>96000000+5000000</f>
        <v>101000000</v>
      </c>
      <c r="I144" s="28">
        <f t="shared" si="48"/>
        <v>0</v>
      </c>
      <c r="J144" s="52"/>
    </row>
    <row r="145" spans="1:10" s="30" customFormat="1" ht="17.25" customHeight="1">
      <c r="A145" s="15"/>
      <c r="B145" s="32"/>
      <c r="C145" s="24"/>
      <c r="D145" s="24"/>
      <c r="E145" s="26" t="s">
        <v>276</v>
      </c>
      <c r="F145" s="26" t="s">
        <v>275</v>
      </c>
      <c r="G145" s="34">
        <v>226000000</v>
      </c>
      <c r="H145" s="34">
        <f>216000000+10000000</f>
        <v>226000000</v>
      </c>
      <c r="I145" s="28">
        <f t="shared" si="48"/>
        <v>0</v>
      </c>
      <c r="J145" s="52"/>
    </row>
    <row r="146" spans="1:10" s="30" customFormat="1" ht="17.25" customHeight="1">
      <c r="A146" s="15"/>
      <c r="B146" s="32"/>
      <c r="C146" s="24"/>
      <c r="D146" s="24"/>
      <c r="E146" s="26" t="s">
        <v>264</v>
      </c>
      <c r="F146" s="26" t="s">
        <v>263</v>
      </c>
      <c r="G146" s="34">
        <v>5000000</v>
      </c>
      <c r="H146" s="34">
        <v>5000000</v>
      </c>
      <c r="I146" s="28">
        <f t="shared" si="48"/>
        <v>0</v>
      </c>
      <c r="J146" s="52"/>
    </row>
    <row r="147" spans="1:10" s="30" customFormat="1" ht="17.25" customHeight="1">
      <c r="A147" s="15"/>
      <c r="B147" s="32"/>
      <c r="C147" s="24"/>
      <c r="D147" s="179" t="s">
        <v>77</v>
      </c>
      <c r="E147" s="180"/>
      <c r="F147" s="26"/>
      <c r="G147" s="27">
        <f>SUM(G148:G149)</f>
        <v>160000000</v>
      </c>
      <c r="H147" s="27">
        <f t="shared" ref="H147:I147" si="49">SUM(H148:H149)</f>
        <v>150000000</v>
      </c>
      <c r="I147" s="27">
        <f t="shared" si="49"/>
        <v>10000000</v>
      </c>
      <c r="J147" s="120"/>
    </row>
    <row r="148" spans="1:10" s="30" customFormat="1" ht="17.25" customHeight="1">
      <c r="A148" s="15"/>
      <c r="B148" s="32"/>
      <c r="C148" s="24"/>
      <c r="D148" s="85"/>
      <c r="E148" s="140" t="s">
        <v>568</v>
      </c>
      <c r="F148" s="42" t="s">
        <v>569</v>
      </c>
      <c r="G148" s="46">
        <v>10000000</v>
      </c>
      <c r="H148" s="46">
        <v>0</v>
      </c>
      <c r="I148" s="46">
        <f>G148-H148</f>
        <v>10000000</v>
      </c>
      <c r="J148" s="122"/>
    </row>
    <row r="149" spans="1:10" s="30" customFormat="1" ht="17.25" customHeight="1">
      <c r="A149" s="15"/>
      <c r="B149" s="32"/>
      <c r="C149" s="24"/>
      <c r="D149" s="24"/>
      <c r="E149" s="33" t="s">
        <v>78</v>
      </c>
      <c r="F149" s="42" t="s">
        <v>570</v>
      </c>
      <c r="G149" s="46">
        <v>150000000</v>
      </c>
      <c r="H149" s="46">
        <f>70000000+70000000+10000000</f>
        <v>150000000</v>
      </c>
      <c r="I149" s="46">
        <f>G149-H149</f>
        <v>0</v>
      </c>
      <c r="J149" s="122"/>
    </row>
    <row r="150" spans="1:10" s="30" customFormat="1" ht="17.25" customHeight="1">
      <c r="A150" s="15"/>
      <c r="B150" s="32"/>
      <c r="C150" s="24"/>
      <c r="D150" s="179" t="s">
        <v>571</v>
      </c>
      <c r="E150" s="180"/>
      <c r="F150" s="42"/>
      <c r="G150" s="50">
        <f>SUM(G151:G152)</f>
        <v>132400000</v>
      </c>
      <c r="H150" s="50">
        <f t="shared" ref="H150:I150" si="50">SUM(H151:H152)</f>
        <v>132400000</v>
      </c>
      <c r="I150" s="50">
        <f t="shared" si="50"/>
        <v>0</v>
      </c>
      <c r="J150" s="122"/>
    </row>
    <row r="151" spans="1:10" s="30" customFormat="1" ht="17.25" customHeight="1">
      <c r="A151" s="15"/>
      <c r="B151" s="32"/>
      <c r="C151" s="24"/>
      <c r="D151" s="24"/>
      <c r="E151" s="33" t="s">
        <v>258</v>
      </c>
      <c r="F151" s="42" t="s">
        <v>79</v>
      </c>
      <c r="G151" s="46">
        <v>32400000</v>
      </c>
      <c r="H151" s="46">
        <v>32400000</v>
      </c>
      <c r="I151" s="28">
        <f>G151-H151</f>
        <v>0</v>
      </c>
      <c r="J151" s="122"/>
    </row>
    <row r="152" spans="1:10" s="30" customFormat="1" ht="17.25" customHeight="1">
      <c r="A152" s="15"/>
      <c r="B152" s="32"/>
      <c r="C152" s="24"/>
      <c r="D152" s="24"/>
      <c r="E152" s="20" t="s">
        <v>403</v>
      </c>
      <c r="F152" s="25" t="s">
        <v>402</v>
      </c>
      <c r="G152" s="47">
        <v>100000000</v>
      </c>
      <c r="H152" s="47">
        <v>100000000</v>
      </c>
      <c r="I152" s="28">
        <f>G152-H152</f>
        <v>0</v>
      </c>
      <c r="J152" s="123"/>
    </row>
    <row r="153" spans="1:10" s="30" customFormat="1" ht="17.25" customHeight="1">
      <c r="A153" s="15"/>
      <c r="B153" s="32"/>
      <c r="C153" s="24"/>
      <c r="D153" s="179" t="s">
        <v>401</v>
      </c>
      <c r="E153" s="180"/>
      <c r="F153" s="26"/>
      <c r="G153" s="45">
        <f>SUM(G154:G157)</f>
        <v>179422000</v>
      </c>
      <c r="H153" s="45">
        <f t="shared" ref="H153:I153" si="51">SUM(H154:H157)</f>
        <v>196616000</v>
      </c>
      <c r="I153" s="45">
        <f t="shared" si="51"/>
        <v>-17194000</v>
      </c>
      <c r="J153" s="120"/>
    </row>
    <row r="154" spans="1:10" s="30" customFormat="1" ht="17.25" customHeight="1">
      <c r="A154" s="15"/>
      <c r="B154" s="32"/>
      <c r="C154" s="24"/>
      <c r="D154" s="24"/>
      <c r="E154" s="20" t="s">
        <v>83</v>
      </c>
      <c r="F154" s="25" t="s">
        <v>398</v>
      </c>
      <c r="G154" s="47">
        <v>60000000</v>
      </c>
      <c r="H154" s="47">
        <v>65400000</v>
      </c>
      <c r="I154" s="28">
        <f>G154-H154</f>
        <v>-5400000</v>
      </c>
      <c r="J154" s="123"/>
    </row>
    <row r="155" spans="1:10" s="30" customFormat="1" ht="17.25" customHeight="1">
      <c r="A155" s="15"/>
      <c r="B155" s="32"/>
      <c r="C155" s="24"/>
      <c r="D155" s="24"/>
      <c r="E155" s="35" t="s">
        <v>399</v>
      </c>
      <c r="F155" s="26" t="s">
        <v>400</v>
      </c>
      <c r="G155" s="27">
        <v>15000000</v>
      </c>
      <c r="H155" s="27">
        <f>15000000+2000000</f>
        <v>17000000</v>
      </c>
      <c r="I155" s="28">
        <f t="shared" ref="I155:I157" si="52">G155-H155</f>
        <v>-2000000</v>
      </c>
      <c r="J155" s="120"/>
    </row>
    <row r="156" spans="1:10" s="30" customFormat="1" ht="17.25" customHeight="1">
      <c r="A156" s="15"/>
      <c r="B156" s="32"/>
      <c r="C156" s="24"/>
      <c r="D156" s="24"/>
      <c r="E156" s="33" t="s">
        <v>370</v>
      </c>
      <c r="F156" s="42" t="s">
        <v>80</v>
      </c>
      <c r="G156" s="46">
        <v>54422000</v>
      </c>
      <c r="H156" s="46">
        <v>58216000</v>
      </c>
      <c r="I156" s="28">
        <f t="shared" si="52"/>
        <v>-3794000</v>
      </c>
      <c r="J156" s="122"/>
    </row>
    <row r="157" spans="1:10" s="30" customFormat="1" ht="17.25" customHeight="1">
      <c r="A157" s="15"/>
      <c r="B157" s="32"/>
      <c r="C157" s="24"/>
      <c r="D157" s="24"/>
      <c r="E157" s="35" t="s">
        <v>81</v>
      </c>
      <c r="F157" s="26" t="s">
        <v>82</v>
      </c>
      <c r="G157" s="27">
        <v>50000000</v>
      </c>
      <c r="H157" s="27">
        <f>50000000+6000000</f>
        <v>56000000</v>
      </c>
      <c r="I157" s="28">
        <f t="shared" si="52"/>
        <v>-6000000</v>
      </c>
      <c r="J157" s="120"/>
    </row>
    <row r="158" spans="1:10" s="30" customFormat="1" ht="17.25" customHeight="1">
      <c r="A158" s="15"/>
      <c r="B158" s="32"/>
      <c r="C158" s="31"/>
      <c r="D158" s="179" t="s">
        <v>397</v>
      </c>
      <c r="E158" s="180"/>
      <c r="F158" s="26"/>
      <c r="G158" s="45">
        <f>SUM(G159:G166)</f>
        <v>940200000</v>
      </c>
      <c r="H158" s="45">
        <f t="shared" ref="H158:I158" si="53">SUM(H159:H166)</f>
        <v>981200000</v>
      </c>
      <c r="I158" s="45">
        <f t="shared" si="53"/>
        <v>-41000000</v>
      </c>
      <c r="J158" s="120"/>
    </row>
    <row r="159" spans="1:10" s="30" customFormat="1" ht="17.25" customHeight="1">
      <c r="A159" s="15"/>
      <c r="B159" s="32"/>
      <c r="C159" s="31"/>
      <c r="D159" s="32"/>
      <c r="E159" s="35" t="s">
        <v>572</v>
      </c>
      <c r="F159" s="26" t="s">
        <v>85</v>
      </c>
      <c r="G159" s="27">
        <v>30000000</v>
      </c>
      <c r="H159" s="27">
        <v>66200000</v>
      </c>
      <c r="I159" s="28">
        <f t="shared" ref="I159:I166" si="54">G159-H159</f>
        <v>-36200000</v>
      </c>
      <c r="J159" s="120"/>
    </row>
    <row r="160" spans="1:10" s="30" customFormat="1" ht="17.25" customHeight="1">
      <c r="A160" s="15"/>
      <c r="B160" s="32"/>
      <c r="C160" s="31"/>
      <c r="D160" s="32"/>
      <c r="E160" s="35" t="s">
        <v>572</v>
      </c>
      <c r="F160" s="26" t="s">
        <v>394</v>
      </c>
      <c r="G160" s="27">
        <v>6000000</v>
      </c>
      <c r="H160" s="27">
        <v>6000000</v>
      </c>
      <c r="I160" s="28">
        <f t="shared" si="54"/>
        <v>0</v>
      </c>
      <c r="J160" s="120"/>
    </row>
    <row r="161" spans="1:10" s="30" customFormat="1" ht="17.25" customHeight="1">
      <c r="A161" s="15"/>
      <c r="B161" s="32"/>
      <c r="C161" s="31"/>
      <c r="D161" s="32"/>
      <c r="E161" s="35" t="s">
        <v>572</v>
      </c>
      <c r="F161" s="25" t="s">
        <v>86</v>
      </c>
      <c r="G161" s="47">
        <v>8000000</v>
      </c>
      <c r="H161" s="47">
        <v>12800000</v>
      </c>
      <c r="I161" s="28">
        <f t="shared" si="54"/>
        <v>-4800000</v>
      </c>
      <c r="J161" s="123"/>
    </row>
    <row r="162" spans="1:10" s="30" customFormat="1" ht="17.25" customHeight="1">
      <c r="A162" s="15"/>
      <c r="B162" s="32"/>
      <c r="C162" s="31"/>
      <c r="D162" s="32"/>
      <c r="E162" s="35" t="s">
        <v>572</v>
      </c>
      <c r="F162" s="26" t="s">
        <v>87</v>
      </c>
      <c r="G162" s="27">
        <v>6000000</v>
      </c>
      <c r="H162" s="27">
        <v>6000000</v>
      </c>
      <c r="I162" s="28">
        <f t="shared" si="54"/>
        <v>0</v>
      </c>
      <c r="J162" s="120"/>
    </row>
    <row r="163" spans="1:10" s="30" customFormat="1" ht="17.25" customHeight="1">
      <c r="A163" s="15"/>
      <c r="B163" s="32"/>
      <c r="C163" s="31"/>
      <c r="D163" s="32"/>
      <c r="E163" s="33" t="s">
        <v>573</v>
      </c>
      <c r="F163" s="42" t="s">
        <v>396</v>
      </c>
      <c r="G163" s="46">
        <v>108000000</v>
      </c>
      <c r="H163" s="46">
        <v>108000000</v>
      </c>
      <c r="I163" s="28">
        <f t="shared" si="54"/>
        <v>0</v>
      </c>
      <c r="J163" s="122"/>
    </row>
    <row r="164" spans="1:10" s="30" customFormat="1" ht="17.25" customHeight="1">
      <c r="A164" s="15"/>
      <c r="B164" s="32"/>
      <c r="C164" s="31"/>
      <c r="D164" s="32"/>
      <c r="E164" s="33" t="s">
        <v>48</v>
      </c>
      <c r="F164" s="26" t="s">
        <v>84</v>
      </c>
      <c r="G164" s="27">
        <v>755000000</v>
      </c>
      <c r="H164" s="27">
        <v>755000000</v>
      </c>
      <c r="I164" s="28">
        <f t="shared" si="54"/>
        <v>0</v>
      </c>
      <c r="J164" s="120"/>
    </row>
    <row r="165" spans="1:10" s="30" customFormat="1" ht="17.25" customHeight="1">
      <c r="A165" s="15"/>
      <c r="B165" s="32"/>
      <c r="C165" s="31"/>
      <c r="D165" s="32"/>
      <c r="E165" s="33" t="s">
        <v>48</v>
      </c>
      <c r="F165" s="26" t="s">
        <v>395</v>
      </c>
      <c r="G165" s="27">
        <v>7200000</v>
      </c>
      <c r="H165" s="27">
        <v>7200000</v>
      </c>
      <c r="I165" s="28">
        <f t="shared" si="54"/>
        <v>0</v>
      </c>
      <c r="J165" s="120"/>
    </row>
    <row r="166" spans="1:10" s="30" customFormat="1" ht="17.25" customHeight="1">
      <c r="A166" s="15"/>
      <c r="B166" s="32"/>
      <c r="C166" s="31"/>
      <c r="D166" s="32"/>
      <c r="E166" s="33" t="s">
        <v>48</v>
      </c>
      <c r="F166" s="26" t="s">
        <v>384</v>
      </c>
      <c r="G166" s="27">
        <v>20000000</v>
      </c>
      <c r="H166" s="27">
        <v>20000000</v>
      </c>
      <c r="I166" s="28">
        <f t="shared" si="54"/>
        <v>0</v>
      </c>
      <c r="J166" s="120"/>
    </row>
    <row r="167" spans="1:10" s="30" customFormat="1" ht="17.25" customHeight="1">
      <c r="A167" s="15"/>
      <c r="B167" s="32"/>
      <c r="C167" s="24"/>
      <c r="D167" s="179" t="s">
        <v>88</v>
      </c>
      <c r="E167" s="180"/>
      <c r="F167" s="42"/>
      <c r="G167" s="50">
        <f>SUM(G168)</f>
        <v>2000000</v>
      </c>
      <c r="H167" s="50">
        <f t="shared" ref="H167:I167" si="55">SUM(H168)</f>
        <v>2000000</v>
      </c>
      <c r="I167" s="50">
        <f t="shared" si="55"/>
        <v>0</v>
      </c>
      <c r="J167" s="122"/>
    </row>
    <row r="168" spans="1:10" s="30" customFormat="1" ht="17.25" customHeight="1">
      <c r="A168" s="15"/>
      <c r="B168" s="32"/>
      <c r="C168" s="24"/>
      <c r="D168" s="25"/>
      <c r="E168" s="20" t="s">
        <v>269</v>
      </c>
      <c r="F168" s="25" t="s">
        <v>393</v>
      </c>
      <c r="G168" s="47">
        <v>2000000</v>
      </c>
      <c r="H168" s="47">
        <v>2000000</v>
      </c>
      <c r="I168" s="28">
        <f>G168-H168</f>
        <v>0</v>
      </c>
      <c r="J168" s="123"/>
    </row>
    <row r="169" spans="1:10" s="30" customFormat="1" ht="17.25" customHeight="1">
      <c r="A169" s="15"/>
      <c r="B169" s="32"/>
      <c r="C169" s="24"/>
      <c r="D169" s="179" t="s">
        <v>392</v>
      </c>
      <c r="E169" s="180"/>
      <c r="F169" s="26"/>
      <c r="G169" s="45">
        <f>SUM(G170:G171)</f>
        <v>2000000</v>
      </c>
      <c r="H169" s="45">
        <f t="shared" ref="H169:I169" si="56">SUM(H170:H171)</f>
        <v>4400000</v>
      </c>
      <c r="I169" s="45">
        <f t="shared" si="56"/>
        <v>-2400000</v>
      </c>
      <c r="J169" s="120"/>
    </row>
    <row r="170" spans="1:10" s="30" customFormat="1" ht="17.25" customHeight="1">
      <c r="A170" s="15"/>
      <c r="B170" s="32"/>
      <c r="C170" s="24"/>
      <c r="D170" s="24"/>
      <c r="E170" s="33" t="s">
        <v>363</v>
      </c>
      <c r="F170" s="42" t="s">
        <v>391</v>
      </c>
      <c r="G170" s="46">
        <v>2000000</v>
      </c>
      <c r="H170" s="46">
        <v>2400000</v>
      </c>
      <c r="I170" s="28">
        <f>G170-H170</f>
        <v>-400000</v>
      </c>
      <c r="J170" s="122"/>
    </row>
    <row r="171" spans="1:10" s="30" customFormat="1" ht="17.25" customHeight="1">
      <c r="A171" s="15"/>
      <c r="B171" s="32"/>
      <c r="C171" s="24"/>
      <c r="D171" s="24"/>
      <c r="E171" s="20" t="s">
        <v>281</v>
      </c>
      <c r="F171" s="25" t="s">
        <v>390</v>
      </c>
      <c r="G171" s="47">
        <v>0</v>
      </c>
      <c r="H171" s="47">
        <v>2000000</v>
      </c>
      <c r="I171" s="28">
        <f>G171-H171</f>
        <v>-2000000</v>
      </c>
      <c r="J171" s="123"/>
    </row>
    <row r="172" spans="1:10" s="30" customFormat="1" ht="17.25" customHeight="1">
      <c r="A172" s="15"/>
      <c r="B172" s="32"/>
      <c r="C172" s="24"/>
      <c r="D172" s="179" t="s">
        <v>389</v>
      </c>
      <c r="E172" s="180"/>
      <c r="F172" s="26"/>
      <c r="G172" s="45">
        <f>SUM(G173)</f>
        <v>3000000</v>
      </c>
      <c r="H172" s="45">
        <f t="shared" ref="H172:I172" si="57">SUM(H173)</f>
        <v>3000000</v>
      </c>
      <c r="I172" s="45">
        <f t="shared" si="57"/>
        <v>0</v>
      </c>
      <c r="J172" s="120"/>
    </row>
    <row r="173" spans="1:10" s="30" customFormat="1" ht="17.25" customHeight="1">
      <c r="A173" s="15"/>
      <c r="B173" s="32"/>
      <c r="C173" s="24"/>
      <c r="D173" s="25"/>
      <c r="E173" s="20" t="s">
        <v>288</v>
      </c>
      <c r="F173" s="25" t="s">
        <v>388</v>
      </c>
      <c r="G173" s="47">
        <v>3000000</v>
      </c>
      <c r="H173" s="47">
        <v>3000000</v>
      </c>
      <c r="I173" s="28">
        <f>G173-H173</f>
        <v>0</v>
      </c>
      <c r="J173" s="123"/>
    </row>
    <row r="174" spans="1:10" s="30" customFormat="1" ht="17.25" customHeight="1">
      <c r="A174" s="15"/>
      <c r="B174" s="32"/>
      <c r="C174" s="31"/>
      <c r="D174" s="179" t="s">
        <v>575</v>
      </c>
      <c r="E174" s="180"/>
      <c r="F174" s="25"/>
      <c r="G174" s="47">
        <f>SUM(G175)</f>
        <v>5500000</v>
      </c>
      <c r="H174" s="47">
        <f t="shared" ref="H174:I174" si="58">SUM(H175)</f>
        <v>5000000</v>
      </c>
      <c r="I174" s="47">
        <f t="shared" si="58"/>
        <v>500000</v>
      </c>
      <c r="J174" s="123"/>
    </row>
    <row r="175" spans="1:10" s="30" customFormat="1" ht="17.25" customHeight="1">
      <c r="A175" s="15"/>
      <c r="B175" s="32"/>
      <c r="C175" s="24"/>
      <c r="D175" s="24"/>
      <c r="E175" s="26" t="s">
        <v>574</v>
      </c>
      <c r="F175" s="26" t="s">
        <v>76</v>
      </c>
      <c r="G175" s="34">
        <v>5500000</v>
      </c>
      <c r="H175" s="34">
        <v>5000000</v>
      </c>
      <c r="I175" s="28">
        <f>G175-H175</f>
        <v>500000</v>
      </c>
      <c r="J175" s="52"/>
    </row>
    <row r="176" spans="1:10" s="30" customFormat="1" ht="17.25" customHeight="1">
      <c r="A176" s="15"/>
      <c r="B176" s="176" t="s">
        <v>387</v>
      </c>
      <c r="C176" s="177"/>
      <c r="D176" s="177"/>
      <c r="E176" s="177"/>
      <c r="F176" s="16"/>
      <c r="G176" s="53">
        <f>G177+G180+G189</f>
        <v>37750000</v>
      </c>
      <c r="H176" s="53">
        <f t="shared" ref="H176:I176" si="59">H177+H180+H189</f>
        <v>39550000</v>
      </c>
      <c r="I176" s="53">
        <f t="shared" si="59"/>
        <v>-1800000</v>
      </c>
      <c r="J176" s="118"/>
    </row>
    <row r="177" spans="1:10" s="30" customFormat="1" ht="17.25" customHeight="1">
      <c r="A177" s="15"/>
      <c r="B177" s="32"/>
      <c r="C177" s="161" t="s">
        <v>508</v>
      </c>
      <c r="D177" s="162"/>
      <c r="E177" s="162"/>
      <c r="F177" s="43"/>
      <c r="G177" s="44">
        <f>G178</f>
        <v>3900000</v>
      </c>
      <c r="H177" s="44">
        <f t="shared" ref="H177:I177" si="60">H178</f>
        <v>3700000</v>
      </c>
      <c r="I177" s="44">
        <f t="shared" si="60"/>
        <v>200000</v>
      </c>
      <c r="J177" s="119"/>
    </row>
    <row r="178" spans="1:10" s="30" customFormat="1" ht="17.25" customHeight="1">
      <c r="A178" s="15"/>
      <c r="B178" s="32"/>
      <c r="C178" s="24"/>
      <c r="D178" s="179" t="s">
        <v>575</v>
      </c>
      <c r="E178" s="180"/>
      <c r="F178" s="42"/>
      <c r="G178" s="50">
        <f>SUM(G179)</f>
        <v>3900000</v>
      </c>
      <c r="H178" s="50">
        <f t="shared" ref="H178:I178" si="61">SUM(H179)</f>
        <v>3700000</v>
      </c>
      <c r="I178" s="50">
        <f t="shared" si="61"/>
        <v>200000</v>
      </c>
      <c r="J178" s="122"/>
    </row>
    <row r="179" spans="1:10" s="30" customFormat="1" ht="17.25" customHeight="1">
      <c r="A179" s="15"/>
      <c r="B179" s="32"/>
      <c r="C179" s="24"/>
      <c r="D179" s="25"/>
      <c r="E179" s="20" t="s">
        <v>380</v>
      </c>
      <c r="F179" s="25" t="s">
        <v>380</v>
      </c>
      <c r="G179" s="47">
        <v>3900000</v>
      </c>
      <c r="H179" s="47">
        <v>3700000</v>
      </c>
      <c r="I179" s="28">
        <f>G179-H179</f>
        <v>200000</v>
      </c>
      <c r="J179" s="123"/>
    </row>
    <row r="180" spans="1:10" s="30" customFormat="1" ht="17.25" customHeight="1">
      <c r="A180" s="15"/>
      <c r="B180" s="32"/>
      <c r="C180" s="161" t="s">
        <v>509</v>
      </c>
      <c r="D180" s="162"/>
      <c r="E180" s="162"/>
      <c r="F180" s="43"/>
      <c r="G180" s="44">
        <f>G181+G184+G186</f>
        <v>15850000</v>
      </c>
      <c r="H180" s="44">
        <f t="shared" ref="H180:I180" si="62">H181+H184+H186</f>
        <v>14850000</v>
      </c>
      <c r="I180" s="44">
        <f t="shared" si="62"/>
        <v>1000000</v>
      </c>
      <c r="J180" s="119"/>
    </row>
    <row r="181" spans="1:10" s="30" customFormat="1" ht="17.25" customHeight="1">
      <c r="A181" s="15"/>
      <c r="B181" s="32"/>
      <c r="C181" s="141"/>
      <c r="D181" s="181" t="s">
        <v>397</v>
      </c>
      <c r="E181" s="182"/>
      <c r="F181" s="42"/>
      <c r="G181" s="50">
        <f>SUM(G182:G183)</f>
        <v>14300000</v>
      </c>
      <c r="H181" s="50">
        <f t="shared" ref="H181:I181" si="63">SUM(H182:H183)</f>
        <v>14300000</v>
      </c>
      <c r="I181" s="50">
        <f t="shared" si="63"/>
        <v>0</v>
      </c>
      <c r="J181" s="122"/>
    </row>
    <row r="182" spans="1:10" s="30" customFormat="1" ht="17.25" customHeight="1">
      <c r="A182" s="15"/>
      <c r="B182" s="32"/>
      <c r="C182" s="24"/>
      <c r="D182" s="60"/>
      <c r="E182" s="35" t="s">
        <v>572</v>
      </c>
      <c r="F182" s="26" t="s">
        <v>383</v>
      </c>
      <c r="G182" s="27">
        <v>1300000</v>
      </c>
      <c r="H182" s="27">
        <v>1300000</v>
      </c>
      <c r="I182" s="28">
        <f>G182-H182</f>
        <v>0</v>
      </c>
      <c r="J182" s="120"/>
    </row>
    <row r="183" spans="1:10" s="30" customFormat="1" ht="17.25" customHeight="1">
      <c r="A183" s="15"/>
      <c r="B183" s="32"/>
      <c r="C183" s="24"/>
      <c r="D183" s="60"/>
      <c r="E183" s="35" t="s">
        <v>48</v>
      </c>
      <c r="F183" s="26" t="s">
        <v>384</v>
      </c>
      <c r="G183" s="27">
        <v>13000000</v>
      </c>
      <c r="H183" s="27">
        <v>13000000</v>
      </c>
      <c r="I183" s="28">
        <f>G183-H183</f>
        <v>0</v>
      </c>
      <c r="J183" s="120"/>
    </row>
    <row r="184" spans="1:10" s="30" customFormat="1" ht="17.25" customHeight="1">
      <c r="A184" s="15"/>
      <c r="B184" s="32"/>
      <c r="C184" s="24"/>
      <c r="D184" s="179" t="s">
        <v>88</v>
      </c>
      <c r="E184" s="175"/>
      <c r="F184" s="26"/>
      <c r="G184" s="27">
        <f>SUM(G185)</f>
        <v>50000</v>
      </c>
      <c r="H184" s="27">
        <f t="shared" ref="H184:I184" si="64">SUM(H185)</f>
        <v>50000</v>
      </c>
      <c r="I184" s="27">
        <f t="shared" si="64"/>
        <v>0</v>
      </c>
      <c r="J184" s="120"/>
    </row>
    <row r="185" spans="1:10" s="30" customFormat="1" ht="17.25" customHeight="1">
      <c r="A185" s="15"/>
      <c r="B185" s="32"/>
      <c r="C185" s="24"/>
      <c r="D185" s="60"/>
      <c r="E185" s="20" t="s">
        <v>269</v>
      </c>
      <c r="F185" s="25" t="s">
        <v>382</v>
      </c>
      <c r="G185" s="47">
        <v>50000</v>
      </c>
      <c r="H185" s="47">
        <v>50000</v>
      </c>
      <c r="I185" s="28">
        <f>G185-H185</f>
        <v>0</v>
      </c>
      <c r="J185" s="123"/>
    </row>
    <row r="186" spans="1:10" s="30" customFormat="1" ht="17.25" customHeight="1">
      <c r="A186" s="15"/>
      <c r="B186" s="32"/>
      <c r="C186" s="24"/>
      <c r="D186" s="179" t="s">
        <v>407</v>
      </c>
      <c r="E186" s="175"/>
      <c r="F186" s="26"/>
      <c r="G186" s="27">
        <f>SUM(G187:G188)</f>
        <v>1500000</v>
      </c>
      <c r="H186" s="27">
        <f t="shared" ref="H186:I186" si="65">SUM(H187:H188)</f>
        <v>500000</v>
      </c>
      <c r="I186" s="27">
        <f t="shared" si="65"/>
        <v>1000000</v>
      </c>
      <c r="J186" s="120"/>
    </row>
    <row r="187" spans="1:10" s="30" customFormat="1" ht="17.25" customHeight="1">
      <c r="A187" s="15"/>
      <c r="B187" s="32"/>
      <c r="C187" s="24"/>
      <c r="D187" s="24"/>
      <c r="E187" s="33" t="s">
        <v>74</v>
      </c>
      <c r="F187" s="42" t="s">
        <v>406</v>
      </c>
      <c r="G187" s="46">
        <v>1000000</v>
      </c>
      <c r="H187" s="46">
        <v>0</v>
      </c>
      <c r="I187" s="28">
        <f t="shared" ref="I187:I212" si="66">G187-H187</f>
        <v>1000000</v>
      </c>
      <c r="J187" s="122"/>
    </row>
    <row r="188" spans="1:10" s="30" customFormat="1" ht="17.25" customHeight="1">
      <c r="A188" s="15"/>
      <c r="B188" s="32"/>
      <c r="C188" s="24"/>
      <c r="D188" s="61"/>
      <c r="E188" s="59" t="s">
        <v>280</v>
      </c>
      <c r="F188" s="25" t="s">
        <v>381</v>
      </c>
      <c r="G188" s="47">
        <v>500000</v>
      </c>
      <c r="H188" s="47">
        <v>500000</v>
      </c>
      <c r="I188" s="28">
        <f t="shared" si="66"/>
        <v>0</v>
      </c>
      <c r="J188" s="123"/>
    </row>
    <row r="189" spans="1:10" s="30" customFormat="1" ht="17.25" customHeight="1">
      <c r="A189" s="15"/>
      <c r="B189" s="32"/>
      <c r="C189" s="161" t="s">
        <v>510</v>
      </c>
      <c r="D189" s="162"/>
      <c r="E189" s="162"/>
      <c r="F189" s="43"/>
      <c r="G189" s="44">
        <f>G190</f>
        <v>18000000</v>
      </c>
      <c r="H189" s="44">
        <f t="shared" ref="H189:I189" si="67">H190</f>
        <v>21000000</v>
      </c>
      <c r="I189" s="44">
        <f t="shared" si="67"/>
        <v>-3000000</v>
      </c>
      <c r="J189" s="119"/>
    </row>
    <row r="190" spans="1:10" s="30" customFormat="1" ht="17.25" customHeight="1">
      <c r="A190" s="15"/>
      <c r="B190" s="32"/>
      <c r="C190" s="24"/>
      <c r="D190" s="179" t="s">
        <v>407</v>
      </c>
      <c r="E190" s="175"/>
      <c r="F190" s="26"/>
      <c r="G190" s="45">
        <f>SUM(G191:G192)</f>
        <v>18000000</v>
      </c>
      <c r="H190" s="27">
        <f>SUM(H191:H192)</f>
        <v>21000000</v>
      </c>
      <c r="I190" s="28">
        <f t="shared" si="66"/>
        <v>-3000000</v>
      </c>
      <c r="J190" s="120"/>
    </row>
    <row r="191" spans="1:10" s="30" customFormat="1" ht="17.25" customHeight="1">
      <c r="A191" s="15"/>
      <c r="B191" s="32"/>
      <c r="C191" s="24"/>
      <c r="D191" s="24"/>
      <c r="E191" s="33" t="s">
        <v>386</v>
      </c>
      <c r="F191" s="42" t="s">
        <v>385</v>
      </c>
      <c r="G191" s="46">
        <v>12000000</v>
      </c>
      <c r="H191" s="46">
        <v>15000000</v>
      </c>
      <c r="I191" s="28">
        <f t="shared" si="66"/>
        <v>-3000000</v>
      </c>
      <c r="J191" s="122"/>
    </row>
    <row r="192" spans="1:10" s="30" customFormat="1" ht="17.25" customHeight="1">
      <c r="A192" s="15"/>
      <c r="B192" s="32"/>
      <c r="C192" s="24"/>
      <c r="D192" s="24"/>
      <c r="E192" s="20" t="s">
        <v>10</v>
      </c>
      <c r="F192" s="25" t="s">
        <v>576</v>
      </c>
      <c r="G192" s="47">
        <v>6000000</v>
      </c>
      <c r="H192" s="47">
        <v>6000000</v>
      </c>
      <c r="I192" s="28">
        <f t="shared" si="66"/>
        <v>0</v>
      </c>
      <c r="J192" s="123"/>
    </row>
    <row r="193" spans="1:11" s="30" customFormat="1" ht="17.25" customHeight="1">
      <c r="A193" s="15"/>
      <c r="B193" s="176" t="s">
        <v>379</v>
      </c>
      <c r="C193" s="177"/>
      <c r="D193" s="177"/>
      <c r="E193" s="177"/>
      <c r="F193" s="16"/>
      <c r="G193" s="53">
        <f>G194</f>
        <v>145000000</v>
      </c>
      <c r="H193" s="17">
        <f>H194</f>
        <v>152300000</v>
      </c>
      <c r="I193" s="18">
        <f t="shared" si="66"/>
        <v>-7300000</v>
      </c>
      <c r="J193" s="118"/>
    </row>
    <row r="194" spans="1:11" s="30" customFormat="1" ht="17.25" customHeight="1">
      <c r="A194" s="15"/>
      <c r="B194" s="32"/>
      <c r="C194" s="161" t="s">
        <v>511</v>
      </c>
      <c r="D194" s="162"/>
      <c r="E194" s="162"/>
      <c r="F194" s="43"/>
      <c r="G194" s="44">
        <f>G195</f>
        <v>145000000</v>
      </c>
      <c r="H194" s="44">
        <f t="shared" ref="H194:I194" si="68">H195</f>
        <v>152300000</v>
      </c>
      <c r="I194" s="44">
        <f t="shared" si="68"/>
        <v>-7300000</v>
      </c>
      <c r="J194" s="119"/>
    </row>
    <row r="195" spans="1:11" s="30" customFormat="1" ht="17.25" customHeight="1">
      <c r="A195" s="15"/>
      <c r="B195" s="32"/>
      <c r="C195" s="24"/>
      <c r="D195" s="181" t="s">
        <v>578</v>
      </c>
      <c r="E195" s="182"/>
      <c r="F195" s="42"/>
      <c r="G195" s="50">
        <f>SUM(G196)</f>
        <v>145000000</v>
      </c>
      <c r="H195" s="50">
        <f t="shared" ref="H195:I195" si="69">SUM(H196)</f>
        <v>152300000</v>
      </c>
      <c r="I195" s="50">
        <f t="shared" si="69"/>
        <v>-7300000</v>
      </c>
      <c r="J195" s="122"/>
    </row>
    <row r="196" spans="1:11" s="30" customFormat="1" ht="17.25" customHeight="1">
      <c r="A196" s="15"/>
      <c r="B196" s="32"/>
      <c r="C196" s="24"/>
      <c r="D196" s="25"/>
      <c r="E196" s="20" t="s">
        <v>378</v>
      </c>
      <c r="F196" s="25" t="s">
        <v>579</v>
      </c>
      <c r="G196" s="47">
        <f>120000000+25000000</f>
        <v>145000000</v>
      </c>
      <c r="H196" s="47">
        <f>120000000+32300000</f>
        <v>152300000</v>
      </c>
      <c r="I196" s="28">
        <f t="shared" si="66"/>
        <v>-7300000</v>
      </c>
      <c r="J196" s="123" t="s">
        <v>644</v>
      </c>
      <c r="K196" s="30" t="s">
        <v>645</v>
      </c>
    </row>
    <row r="197" spans="1:11" s="30" customFormat="1" ht="17.25" customHeight="1">
      <c r="A197" s="15"/>
      <c r="B197" s="176" t="s">
        <v>377</v>
      </c>
      <c r="C197" s="177"/>
      <c r="D197" s="177"/>
      <c r="E197" s="177"/>
      <c r="F197" s="16"/>
      <c r="G197" s="53">
        <f>G198+G201+G204</f>
        <v>78920000</v>
      </c>
      <c r="H197" s="53">
        <f t="shared" ref="H197:I197" si="70">H198+H201+H204</f>
        <v>78700000</v>
      </c>
      <c r="I197" s="53">
        <f t="shared" si="70"/>
        <v>220000</v>
      </c>
      <c r="J197" s="118"/>
    </row>
    <row r="198" spans="1:11" s="30" customFormat="1" ht="17.25" customHeight="1">
      <c r="A198" s="15"/>
      <c r="B198" s="32"/>
      <c r="C198" s="161" t="s">
        <v>513</v>
      </c>
      <c r="D198" s="162"/>
      <c r="E198" s="183"/>
      <c r="F198" s="43"/>
      <c r="G198" s="22">
        <f>G199</f>
        <v>45000000</v>
      </c>
      <c r="H198" s="22">
        <f t="shared" ref="H198:I198" si="71">H199</f>
        <v>45000000</v>
      </c>
      <c r="I198" s="22">
        <f t="shared" si="71"/>
        <v>0</v>
      </c>
      <c r="J198" s="119"/>
    </row>
    <row r="199" spans="1:11" s="30" customFormat="1" ht="17.25" customHeight="1">
      <c r="A199" s="15"/>
      <c r="B199" s="32"/>
      <c r="C199" s="24"/>
      <c r="D199" s="181" t="s">
        <v>580</v>
      </c>
      <c r="E199" s="182"/>
      <c r="F199" s="26"/>
      <c r="G199" s="45">
        <f>SUM(G200)</f>
        <v>45000000</v>
      </c>
      <c r="H199" s="45">
        <f t="shared" ref="H199:I199" si="72">SUM(H200)</f>
        <v>45000000</v>
      </c>
      <c r="I199" s="45">
        <f t="shared" si="72"/>
        <v>0</v>
      </c>
      <c r="J199" s="120"/>
    </row>
    <row r="200" spans="1:11" s="30" customFormat="1" ht="17.25" customHeight="1">
      <c r="A200" s="15"/>
      <c r="B200" s="32"/>
      <c r="C200" s="24"/>
      <c r="D200" s="25"/>
      <c r="E200" s="20" t="s">
        <v>90</v>
      </c>
      <c r="F200" s="26" t="s">
        <v>583</v>
      </c>
      <c r="G200" s="27">
        <v>45000000</v>
      </c>
      <c r="H200" s="27">
        <v>45000000</v>
      </c>
      <c r="I200" s="28">
        <f t="shared" si="66"/>
        <v>0</v>
      </c>
      <c r="J200" s="120"/>
    </row>
    <row r="201" spans="1:11" s="30" customFormat="1" ht="17.25" customHeight="1">
      <c r="A201" s="15"/>
      <c r="B201" s="32"/>
      <c r="C201" s="161" t="s">
        <v>512</v>
      </c>
      <c r="D201" s="162"/>
      <c r="E201" s="183"/>
      <c r="F201" s="62"/>
      <c r="G201" s="63">
        <f>G202</f>
        <v>23920000</v>
      </c>
      <c r="H201" s="63">
        <f t="shared" ref="H201:I201" si="73">H202</f>
        <v>23700000</v>
      </c>
      <c r="I201" s="63">
        <f t="shared" si="73"/>
        <v>220000</v>
      </c>
      <c r="J201" s="125"/>
    </row>
    <row r="202" spans="1:11" s="30" customFormat="1" ht="17.25" customHeight="1">
      <c r="A202" s="15"/>
      <c r="B202" s="32"/>
      <c r="C202" s="24"/>
      <c r="D202" s="181" t="s">
        <v>580</v>
      </c>
      <c r="E202" s="182"/>
      <c r="F202" s="26"/>
      <c r="G202" s="45">
        <f>SUM(G203)</f>
        <v>23920000</v>
      </c>
      <c r="H202" s="45">
        <f t="shared" ref="H202:I202" si="74">SUM(H203)</f>
        <v>23700000</v>
      </c>
      <c r="I202" s="45">
        <f t="shared" si="74"/>
        <v>220000</v>
      </c>
      <c r="J202" s="120"/>
    </row>
    <row r="203" spans="1:11" s="30" customFormat="1" ht="17.25" customHeight="1">
      <c r="A203" s="15"/>
      <c r="B203" s="32"/>
      <c r="C203" s="24"/>
      <c r="D203" s="25"/>
      <c r="E203" s="20" t="s">
        <v>376</v>
      </c>
      <c r="F203" s="26" t="s">
        <v>89</v>
      </c>
      <c r="G203" s="27">
        <v>23920000</v>
      </c>
      <c r="H203" s="27">
        <v>23700000</v>
      </c>
      <c r="I203" s="28">
        <f t="shared" si="66"/>
        <v>220000</v>
      </c>
      <c r="J203" s="120"/>
    </row>
    <row r="204" spans="1:11" s="30" customFormat="1" ht="17.25" customHeight="1">
      <c r="A204" s="15"/>
      <c r="B204" s="32"/>
      <c r="C204" s="161" t="s">
        <v>514</v>
      </c>
      <c r="D204" s="162"/>
      <c r="E204" s="183"/>
      <c r="F204" s="43"/>
      <c r="G204" s="63">
        <f>G205</f>
        <v>10000000</v>
      </c>
      <c r="H204" s="63">
        <f t="shared" ref="H204:I204" si="75">H205</f>
        <v>10000000</v>
      </c>
      <c r="I204" s="63">
        <f t="shared" si="75"/>
        <v>0</v>
      </c>
      <c r="J204" s="119"/>
    </row>
    <row r="205" spans="1:11" s="30" customFormat="1" ht="17.25" customHeight="1">
      <c r="A205" s="15"/>
      <c r="B205" s="32"/>
      <c r="C205" s="24"/>
      <c r="D205" s="181" t="s">
        <v>77</v>
      </c>
      <c r="E205" s="182"/>
      <c r="F205" s="26"/>
      <c r="G205" s="45">
        <f>SUM(G206)</f>
        <v>10000000</v>
      </c>
      <c r="H205" s="45">
        <f t="shared" ref="H205:I205" si="76">SUM(H206)</f>
        <v>10000000</v>
      </c>
      <c r="I205" s="45">
        <f t="shared" si="76"/>
        <v>0</v>
      </c>
      <c r="J205" s="120"/>
    </row>
    <row r="206" spans="1:11" s="30" customFormat="1" ht="17.25" customHeight="1">
      <c r="A206" s="15"/>
      <c r="B206" s="32"/>
      <c r="C206" s="24"/>
      <c r="D206" s="25"/>
      <c r="E206" s="20" t="s">
        <v>581</v>
      </c>
      <c r="F206" s="26" t="s">
        <v>375</v>
      </c>
      <c r="G206" s="27">
        <v>10000000</v>
      </c>
      <c r="H206" s="27">
        <v>10000000</v>
      </c>
      <c r="I206" s="28">
        <f t="shared" si="66"/>
        <v>0</v>
      </c>
      <c r="J206" s="120"/>
    </row>
    <row r="207" spans="1:11" s="30" customFormat="1" ht="17.25" customHeight="1">
      <c r="A207" s="187" t="s">
        <v>374</v>
      </c>
      <c r="B207" s="188"/>
      <c r="C207" s="188"/>
      <c r="D207" s="188"/>
      <c r="E207" s="188"/>
      <c r="F207" s="56"/>
      <c r="G207" s="143">
        <f>G208+G247+G264+G270</f>
        <v>842730000</v>
      </c>
      <c r="H207" s="143">
        <f t="shared" ref="H207:I207" si="77">H208+H247+H264+H270</f>
        <v>921029000</v>
      </c>
      <c r="I207" s="143">
        <f t="shared" si="77"/>
        <v>-78299000</v>
      </c>
      <c r="J207" s="124"/>
    </row>
    <row r="208" spans="1:11" s="30" customFormat="1" ht="17.25" customHeight="1">
      <c r="A208" s="15"/>
      <c r="B208" s="176" t="s">
        <v>373</v>
      </c>
      <c r="C208" s="177"/>
      <c r="D208" s="177"/>
      <c r="E208" s="178"/>
      <c r="F208" s="64"/>
      <c r="G208" s="53">
        <f>G209+G215+G220+G223+G230+G236</f>
        <v>485080000</v>
      </c>
      <c r="H208" s="53">
        <f t="shared" ref="H208:I208" si="78">H209+H215+H220+H223+H230+H236</f>
        <v>535804000</v>
      </c>
      <c r="I208" s="53">
        <f t="shared" si="78"/>
        <v>-50724000</v>
      </c>
      <c r="J208" s="126"/>
    </row>
    <row r="209" spans="1:10" s="30" customFormat="1" ht="17.25" customHeight="1">
      <c r="A209" s="15"/>
      <c r="B209" s="32"/>
      <c r="C209" s="161" t="s">
        <v>515</v>
      </c>
      <c r="D209" s="162"/>
      <c r="E209" s="183"/>
      <c r="F209" s="43"/>
      <c r="G209" s="22">
        <f>G210+G213</f>
        <v>43000000</v>
      </c>
      <c r="H209" s="22">
        <f t="shared" ref="H209:I209" si="79">H210+H213</f>
        <v>56500000</v>
      </c>
      <c r="I209" s="22">
        <f t="shared" si="79"/>
        <v>-13500000</v>
      </c>
      <c r="J209" s="119"/>
    </row>
    <row r="210" spans="1:10" s="30" customFormat="1" ht="17.25" customHeight="1">
      <c r="A210" s="15"/>
      <c r="B210" s="32"/>
      <c r="C210" s="24"/>
      <c r="D210" s="179" t="s">
        <v>407</v>
      </c>
      <c r="E210" s="180"/>
      <c r="F210" s="26"/>
      <c r="G210" s="45">
        <f>SUM(G211:G212)</f>
        <v>40000000</v>
      </c>
      <c r="H210" s="45">
        <f t="shared" ref="H210:I210" si="80">SUM(H211:H212)</f>
        <v>53500000</v>
      </c>
      <c r="I210" s="45">
        <f t="shared" si="80"/>
        <v>-13500000</v>
      </c>
      <c r="J210" s="120"/>
    </row>
    <row r="211" spans="1:10" s="30" customFormat="1" ht="17.25" customHeight="1">
      <c r="A211" s="15"/>
      <c r="B211" s="32"/>
      <c r="C211" s="24"/>
      <c r="D211" s="24"/>
      <c r="E211" s="33" t="s">
        <v>14</v>
      </c>
      <c r="F211" s="26" t="s">
        <v>582</v>
      </c>
      <c r="G211" s="27">
        <v>30000000</v>
      </c>
      <c r="H211" s="27">
        <v>35000000</v>
      </c>
      <c r="I211" s="28">
        <f t="shared" si="66"/>
        <v>-5000000</v>
      </c>
      <c r="J211" s="120"/>
    </row>
    <row r="212" spans="1:10" s="30" customFormat="1" ht="17.25" customHeight="1">
      <c r="A212" s="15"/>
      <c r="B212" s="32"/>
      <c r="C212" s="24"/>
      <c r="D212" s="42"/>
      <c r="E212" s="33" t="s">
        <v>14</v>
      </c>
      <c r="F212" s="26" t="s">
        <v>605</v>
      </c>
      <c r="G212" s="27">
        <v>10000000</v>
      </c>
      <c r="H212" s="27">
        <v>18500000</v>
      </c>
      <c r="I212" s="28">
        <f t="shared" si="66"/>
        <v>-8500000</v>
      </c>
      <c r="J212" s="120"/>
    </row>
    <row r="213" spans="1:10" s="30" customFormat="1" ht="17.25" customHeight="1">
      <c r="A213" s="15"/>
      <c r="B213" s="32"/>
      <c r="C213" s="24"/>
      <c r="D213" s="181" t="s">
        <v>580</v>
      </c>
      <c r="E213" s="182"/>
      <c r="F213" s="26"/>
      <c r="G213" s="45">
        <f>SUM(G214)</f>
        <v>3000000</v>
      </c>
      <c r="H213" s="45">
        <f t="shared" ref="H213:I213" si="81">SUM(H214)</f>
        <v>3000000</v>
      </c>
      <c r="I213" s="45">
        <f t="shared" si="81"/>
        <v>0</v>
      </c>
      <c r="J213" s="120"/>
    </row>
    <row r="214" spans="1:10" s="30" customFormat="1" ht="17.25" customHeight="1">
      <c r="A214" s="15"/>
      <c r="B214" s="32"/>
      <c r="C214" s="24"/>
      <c r="D214" s="25"/>
      <c r="E214" s="20" t="s">
        <v>90</v>
      </c>
      <c r="F214" s="26" t="s">
        <v>96</v>
      </c>
      <c r="G214" s="27">
        <v>3000000</v>
      </c>
      <c r="H214" s="27">
        <v>3000000</v>
      </c>
      <c r="I214" s="28">
        <f t="shared" ref="I214:I232" si="82">G214-H214</f>
        <v>0</v>
      </c>
      <c r="J214" s="120"/>
    </row>
    <row r="215" spans="1:10" s="30" customFormat="1" ht="17.25" customHeight="1">
      <c r="A215" s="15"/>
      <c r="B215" s="32"/>
      <c r="C215" s="161" t="s">
        <v>516</v>
      </c>
      <c r="D215" s="162"/>
      <c r="E215" s="183"/>
      <c r="F215" s="43"/>
      <c r="G215" s="44">
        <f>G216+G218</f>
        <v>7000000</v>
      </c>
      <c r="H215" s="44">
        <f t="shared" ref="H215:I215" si="83">H216+H218</f>
        <v>10000000</v>
      </c>
      <c r="I215" s="44">
        <f t="shared" si="83"/>
        <v>-3000000</v>
      </c>
      <c r="J215" s="119"/>
    </row>
    <row r="216" spans="1:10" s="30" customFormat="1" ht="17.25" customHeight="1">
      <c r="A216" s="15"/>
      <c r="B216" s="32"/>
      <c r="C216" s="24"/>
      <c r="D216" s="181" t="s">
        <v>372</v>
      </c>
      <c r="E216" s="182"/>
      <c r="F216" s="26"/>
      <c r="G216" s="45">
        <f>SUM(G217)</f>
        <v>2000000</v>
      </c>
      <c r="H216" s="45">
        <f t="shared" ref="H216:I216" si="84">SUM(H217)</f>
        <v>5000000</v>
      </c>
      <c r="I216" s="45">
        <f t="shared" si="84"/>
        <v>-3000000</v>
      </c>
      <c r="J216" s="120"/>
    </row>
    <row r="217" spans="1:10" s="30" customFormat="1" ht="17.25" customHeight="1">
      <c r="A217" s="15"/>
      <c r="B217" s="32"/>
      <c r="C217" s="24"/>
      <c r="D217" s="26"/>
      <c r="E217" s="35" t="s">
        <v>91</v>
      </c>
      <c r="F217" s="26" t="s">
        <v>92</v>
      </c>
      <c r="G217" s="27">
        <v>2000000</v>
      </c>
      <c r="H217" s="27">
        <v>5000000</v>
      </c>
      <c r="I217" s="28">
        <f t="shared" si="82"/>
        <v>-3000000</v>
      </c>
      <c r="J217" s="120"/>
    </row>
    <row r="218" spans="1:10" s="30" customFormat="1" ht="17.25" customHeight="1">
      <c r="A218" s="15"/>
      <c r="B218" s="32"/>
      <c r="C218" s="24"/>
      <c r="D218" s="181" t="s">
        <v>407</v>
      </c>
      <c r="E218" s="182"/>
      <c r="F218" s="42"/>
      <c r="G218" s="50">
        <f>SUM(G219)</f>
        <v>5000000</v>
      </c>
      <c r="H218" s="45">
        <f t="shared" ref="H218:I218" si="85">SUM(H219)</f>
        <v>5000000</v>
      </c>
      <c r="I218" s="45">
        <f t="shared" si="85"/>
        <v>0</v>
      </c>
      <c r="J218" s="120"/>
    </row>
    <row r="219" spans="1:10" s="30" customFormat="1" ht="17.25" customHeight="1">
      <c r="A219" s="15"/>
      <c r="B219" s="32"/>
      <c r="C219" s="24"/>
      <c r="D219" s="25"/>
      <c r="E219" s="20" t="s">
        <v>266</v>
      </c>
      <c r="F219" s="26" t="s">
        <v>93</v>
      </c>
      <c r="G219" s="27">
        <v>5000000</v>
      </c>
      <c r="H219" s="27">
        <v>5000000</v>
      </c>
      <c r="I219" s="28">
        <f t="shared" si="82"/>
        <v>0</v>
      </c>
      <c r="J219" s="120"/>
    </row>
    <row r="220" spans="1:10" s="30" customFormat="1" ht="17.25" customHeight="1">
      <c r="A220" s="15"/>
      <c r="B220" s="32"/>
      <c r="C220" s="161" t="s">
        <v>517</v>
      </c>
      <c r="D220" s="162"/>
      <c r="E220" s="183"/>
      <c r="F220" s="43"/>
      <c r="G220" s="44">
        <f>G221</f>
        <v>2000000</v>
      </c>
      <c r="H220" s="44">
        <f t="shared" ref="H220:I220" si="86">H221</f>
        <v>5000000</v>
      </c>
      <c r="I220" s="44">
        <f t="shared" si="86"/>
        <v>-3000000</v>
      </c>
      <c r="J220" s="119"/>
    </row>
    <row r="221" spans="1:10" s="30" customFormat="1" ht="17.25" customHeight="1">
      <c r="A221" s="15"/>
      <c r="B221" s="32"/>
      <c r="C221" s="24"/>
      <c r="D221" s="181" t="s">
        <v>584</v>
      </c>
      <c r="E221" s="182"/>
      <c r="F221" s="26"/>
      <c r="G221" s="45">
        <f>SUM(G222)</f>
        <v>2000000</v>
      </c>
      <c r="H221" s="45">
        <f t="shared" ref="H221:I221" si="87">SUM(H222)</f>
        <v>5000000</v>
      </c>
      <c r="I221" s="45">
        <f t="shared" si="87"/>
        <v>-3000000</v>
      </c>
      <c r="J221" s="120"/>
    </row>
    <row r="222" spans="1:10" s="30" customFormat="1" ht="17.25" customHeight="1">
      <c r="A222" s="15"/>
      <c r="B222" s="32"/>
      <c r="C222" s="24"/>
      <c r="D222" s="25"/>
      <c r="E222" s="20" t="s">
        <v>585</v>
      </c>
      <c r="F222" s="26" t="s">
        <v>371</v>
      </c>
      <c r="G222" s="27">
        <v>2000000</v>
      </c>
      <c r="H222" s="27">
        <v>5000000</v>
      </c>
      <c r="I222" s="28">
        <f t="shared" si="82"/>
        <v>-3000000</v>
      </c>
      <c r="J222" s="120"/>
    </row>
    <row r="223" spans="1:10" s="30" customFormat="1" ht="17.25" customHeight="1">
      <c r="A223" s="15"/>
      <c r="B223" s="32"/>
      <c r="C223" s="161" t="s">
        <v>518</v>
      </c>
      <c r="D223" s="162"/>
      <c r="E223" s="183"/>
      <c r="F223" s="43"/>
      <c r="G223" s="44">
        <f>G224+G226+G228</f>
        <v>4000000</v>
      </c>
      <c r="H223" s="44">
        <f t="shared" ref="H223:I223" si="88">H224+H226+H228</f>
        <v>5000000</v>
      </c>
      <c r="I223" s="44">
        <f t="shared" si="88"/>
        <v>-1000000</v>
      </c>
      <c r="J223" s="119"/>
    </row>
    <row r="224" spans="1:10" s="30" customFormat="1" ht="17.25" customHeight="1">
      <c r="A224" s="15"/>
      <c r="B224" s="32"/>
      <c r="C224" s="24"/>
      <c r="D224" s="179" t="s">
        <v>407</v>
      </c>
      <c r="E224" s="180"/>
      <c r="F224" s="26"/>
      <c r="G224" s="27">
        <f>SUM(G225)</f>
        <v>2000000</v>
      </c>
      <c r="H224" s="27">
        <f t="shared" ref="H224:I224" si="89">SUM(H225)</f>
        <v>2000000</v>
      </c>
      <c r="I224" s="27">
        <f t="shared" si="89"/>
        <v>0</v>
      </c>
      <c r="J224" s="120"/>
    </row>
    <row r="225" spans="1:10" s="30" customFormat="1" ht="17.25" customHeight="1">
      <c r="A225" s="15"/>
      <c r="B225" s="32"/>
      <c r="C225" s="24"/>
      <c r="D225" s="24"/>
      <c r="E225" s="33" t="s">
        <v>586</v>
      </c>
      <c r="F225" s="26" t="s">
        <v>94</v>
      </c>
      <c r="G225" s="27">
        <v>2000000</v>
      </c>
      <c r="H225" s="27">
        <v>2000000</v>
      </c>
      <c r="I225" s="28">
        <f t="shared" si="82"/>
        <v>0</v>
      </c>
      <c r="J225" s="120"/>
    </row>
    <row r="226" spans="1:10" s="30" customFormat="1" ht="17.25" customHeight="1">
      <c r="A226" s="15"/>
      <c r="B226" s="32"/>
      <c r="C226" s="24"/>
      <c r="D226" s="179" t="s">
        <v>401</v>
      </c>
      <c r="E226" s="180"/>
      <c r="F226" s="26"/>
      <c r="G226" s="27">
        <f>SUM(G227)</f>
        <v>1000000</v>
      </c>
      <c r="H226" s="27">
        <f t="shared" ref="H226:I226" si="90">SUM(H227)</f>
        <v>1000000</v>
      </c>
      <c r="I226" s="27">
        <f t="shared" si="90"/>
        <v>0</v>
      </c>
      <c r="J226" s="120"/>
    </row>
    <row r="227" spans="1:10" s="30" customFormat="1" ht="17.25" customHeight="1">
      <c r="A227" s="15"/>
      <c r="B227" s="32"/>
      <c r="C227" s="24"/>
      <c r="D227" s="24"/>
      <c r="E227" s="147" t="s">
        <v>587</v>
      </c>
      <c r="F227" s="145" t="s">
        <v>95</v>
      </c>
      <c r="G227" s="27">
        <v>1000000</v>
      </c>
      <c r="H227" s="27">
        <v>1000000</v>
      </c>
      <c r="I227" s="28">
        <f t="shared" si="82"/>
        <v>0</v>
      </c>
      <c r="J227" s="120"/>
    </row>
    <row r="228" spans="1:10" s="30" customFormat="1" ht="17.25" customHeight="1">
      <c r="A228" s="15"/>
      <c r="B228" s="32"/>
      <c r="C228" s="24"/>
      <c r="D228" s="179" t="s">
        <v>407</v>
      </c>
      <c r="E228" s="180"/>
      <c r="F228" s="26"/>
      <c r="G228" s="45">
        <f>SUM(G229)</f>
        <v>1000000</v>
      </c>
      <c r="H228" s="45">
        <f t="shared" ref="H228:I228" si="91">SUM(H229)</f>
        <v>2000000</v>
      </c>
      <c r="I228" s="45">
        <f t="shared" si="91"/>
        <v>-1000000</v>
      </c>
      <c r="J228" s="120"/>
    </row>
    <row r="229" spans="1:10" s="30" customFormat="1" ht="17.25" customHeight="1">
      <c r="A229" s="15"/>
      <c r="B229" s="32"/>
      <c r="C229" s="24"/>
      <c r="D229" s="24"/>
      <c r="E229" s="33" t="s">
        <v>586</v>
      </c>
      <c r="F229" s="26" t="s">
        <v>369</v>
      </c>
      <c r="G229" s="27">
        <v>1000000</v>
      </c>
      <c r="H229" s="27">
        <v>2000000</v>
      </c>
      <c r="I229" s="28">
        <f t="shared" si="82"/>
        <v>-1000000</v>
      </c>
      <c r="J229" s="120"/>
    </row>
    <row r="230" spans="1:10" s="30" customFormat="1" ht="17.25" customHeight="1">
      <c r="A230" s="15"/>
      <c r="B230" s="32"/>
      <c r="C230" s="161" t="s">
        <v>520</v>
      </c>
      <c r="D230" s="162"/>
      <c r="E230" s="183"/>
      <c r="F230" s="43"/>
      <c r="G230" s="44">
        <f>G231+G233</f>
        <v>420080000</v>
      </c>
      <c r="H230" s="44">
        <f t="shared" ref="H230:I230" si="92">H231+H233</f>
        <v>449304000</v>
      </c>
      <c r="I230" s="44">
        <f t="shared" si="92"/>
        <v>-29224000</v>
      </c>
      <c r="J230" s="119"/>
    </row>
    <row r="231" spans="1:10" s="30" customFormat="1" ht="17.25" customHeight="1">
      <c r="A231" s="15"/>
      <c r="B231" s="32"/>
      <c r="C231" s="24"/>
      <c r="D231" s="179" t="s">
        <v>554</v>
      </c>
      <c r="E231" s="180"/>
      <c r="F231" s="26"/>
      <c r="G231" s="27">
        <f>SUM(G232)</f>
        <v>410080000</v>
      </c>
      <c r="H231" s="27">
        <f t="shared" ref="H231:I231" si="93">SUM(H232)</f>
        <v>439404000</v>
      </c>
      <c r="I231" s="27">
        <f t="shared" si="93"/>
        <v>-29324000</v>
      </c>
      <c r="J231" s="120"/>
    </row>
    <row r="232" spans="1:10" s="30" customFormat="1" ht="17.25" customHeight="1">
      <c r="A232" s="15"/>
      <c r="B232" s="32"/>
      <c r="C232" s="24"/>
      <c r="D232" s="141"/>
      <c r="E232" s="71" t="s">
        <v>589</v>
      </c>
      <c r="F232" s="26" t="s">
        <v>361</v>
      </c>
      <c r="G232" s="45">
        <f>352800000+3000000+19000000+35280000</f>
        <v>410080000</v>
      </c>
      <c r="H232" s="27">
        <f>427904000+1500000+10000000</f>
        <v>439404000</v>
      </c>
      <c r="I232" s="28">
        <f t="shared" si="82"/>
        <v>-29324000</v>
      </c>
      <c r="J232" s="120" t="s">
        <v>588</v>
      </c>
    </row>
    <row r="233" spans="1:10" s="30" customFormat="1" ht="17.25" customHeight="1">
      <c r="A233" s="15"/>
      <c r="B233" s="32"/>
      <c r="C233" s="24"/>
      <c r="D233" s="179" t="s">
        <v>578</v>
      </c>
      <c r="E233" s="180"/>
      <c r="F233" s="26"/>
      <c r="G233" s="45">
        <f>SUM(G234:G235)</f>
        <v>10000000</v>
      </c>
      <c r="H233" s="45">
        <f t="shared" ref="H233:I233" si="94">SUM(H234:H235)</f>
        <v>9900000</v>
      </c>
      <c r="I233" s="45">
        <f t="shared" si="94"/>
        <v>100000</v>
      </c>
      <c r="J233" s="120"/>
    </row>
    <row r="234" spans="1:10" s="30" customFormat="1" ht="17.25" customHeight="1">
      <c r="A234" s="15"/>
      <c r="B234" s="32"/>
      <c r="C234" s="24"/>
      <c r="D234" s="24"/>
      <c r="E234" s="33" t="s">
        <v>360</v>
      </c>
      <c r="F234" s="26" t="s">
        <v>359</v>
      </c>
      <c r="G234" s="27">
        <v>10000000</v>
      </c>
      <c r="H234" s="27">
        <v>7900000</v>
      </c>
      <c r="I234" s="28">
        <f t="shared" ref="I234:I274" si="95">G234-H234</f>
        <v>2100000</v>
      </c>
      <c r="J234" s="120"/>
    </row>
    <row r="235" spans="1:10" s="30" customFormat="1" ht="17.25" customHeight="1">
      <c r="A235" s="15"/>
      <c r="B235" s="32"/>
      <c r="C235" s="24"/>
      <c r="D235" s="24"/>
      <c r="E235" s="20" t="s">
        <v>358</v>
      </c>
      <c r="F235" s="25" t="s">
        <v>357</v>
      </c>
      <c r="G235" s="27">
        <v>0</v>
      </c>
      <c r="H235" s="27">
        <v>2000000</v>
      </c>
      <c r="I235" s="28">
        <f t="shared" si="95"/>
        <v>-2000000</v>
      </c>
      <c r="J235" s="120"/>
    </row>
    <row r="236" spans="1:10" s="30" customFormat="1" ht="17.25" customHeight="1">
      <c r="A236" s="15"/>
      <c r="B236" s="32"/>
      <c r="C236" s="161" t="s">
        <v>519</v>
      </c>
      <c r="D236" s="162"/>
      <c r="E236" s="183"/>
      <c r="F236" s="43"/>
      <c r="G236" s="22">
        <f>G237+G239</f>
        <v>9000000</v>
      </c>
      <c r="H236" s="22">
        <f t="shared" ref="H236:I236" si="96">H237+H239</f>
        <v>10000000</v>
      </c>
      <c r="I236" s="22">
        <f t="shared" si="96"/>
        <v>-1000000</v>
      </c>
      <c r="J236" s="119"/>
    </row>
    <row r="237" spans="1:10" s="30" customFormat="1" ht="17.25" customHeight="1">
      <c r="A237" s="15"/>
      <c r="B237" s="32"/>
      <c r="C237" s="24"/>
      <c r="D237" s="179" t="s">
        <v>407</v>
      </c>
      <c r="E237" s="180"/>
      <c r="F237" s="26"/>
      <c r="G237" s="27">
        <f>SUM(G238)</f>
        <v>1000000</v>
      </c>
      <c r="H237" s="27">
        <f t="shared" ref="H237:I237" si="97">SUM(H238)</f>
        <v>2000000</v>
      </c>
      <c r="I237" s="27">
        <f t="shared" si="97"/>
        <v>-1000000</v>
      </c>
      <c r="J237" s="120"/>
    </row>
    <row r="238" spans="1:10" s="30" customFormat="1" ht="17.25" customHeight="1">
      <c r="A238" s="15"/>
      <c r="B238" s="32"/>
      <c r="C238" s="24"/>
      <c r="D238" s="26"/>
      <c r="E238" s="33" t="s">
        <v>586</v>
      </c>
      <c r="F238" s="26" t="s">
        <v>368</v>
      </c>
      <c r="G238" s="27">
        <v>1000000</v>
      </c>
      <c r="H238" s="27">
        <v>2000000</v>
      </c>
      <c r="I238" s="28">
        <f t="shared" si="95"/>
        <v>-1000000</v>
      </c>
      <c r="J238" s="120"/>
    </row>
    <row r="239" spans="1:10" s="30" customFormat="1" ht="17.25" customHeight="1">
      <c r="A239" s="15"/>
      <c r="B239" s="32"/>
      <c r="C239" s="24"/>
      <c r="D239" s="181" t="s">
        <v>563</v>
      </c>
      <c r="E239" s="182"/>
      <c r="F239" s="26"/>
      <c r="G239" s="45">
        <f>SUM(G240:G246)</f>
        <v>8000000</v>
      </c>
      <c r="H239" s="45">
        <f t="shared" ref="H239:I239" si="98">SUM(H240:H246)</f>
        <v>8000000</v>
      </c>
      <c r="I239" s="45">
        <f t="shared" si="98"/>
        <v>0</v>
      </c>
      <c r="J239" s="120"/>
    </row>
    <row r="240" spans="1:10" s="30" customFormat="1" ht="17.25" customHeight="1">
      <c r="A240" s="15"/>
      <c r="B240" s="32"/>
      <c r="C240" s="24"/>
      <c r="D240" s="25"/>
      <c r="E240" s="20" t="s">
        <v>363</v>
      </c>
      <c r="F240" s="26" t="s">
        <v>367</v>
      </c>
      <c r="G240" s="27">
        <v>700000</v>
      </c>
      <c r="H240" s="27">
        <v>700000</v>
      </c>
      <c r="I240" s="28">
        <f t="shared" si="95"/>
        <v>0</v>
      </c>
      <c r="J240" s="120"/>
    </row>
    <row r="241" spans="1:10" s="30" customFormat="1" ht="17.25" customHeight="1">
      <c r="A241" s="15"/>
      <c r="B241" s="32"/>
      <c r="C241" s="24"/>
      <c r="D241" s="31"/>
      <c r="E241" s="20" t="s">
        <v>363</v>
      </c>
      <c r="F241" s="26" t="s">
        <v>366</v>
      </c>
      <c r="G241" s="27">
        <v>1700000</v>
      </c>
      <c r="H241" s="27">
        <v>1700000</v>
      </c>
      <c r="I241" s="28">
        <f t="shared" si="95"/>
        <v>0</v>
      </c>
      <c r="J241" s="120"/>
    </row>
    <row r="242" spans="1:10" s="30" customFormat="1" ht="17.25" customHeight="1">
      <c r="A242" s="15"/>
      <c r="B242" s="32"/>
      <c r="C242" s="24"/>
      <c r="D242" s="31"/>
      <c r="E242" s="20" t="s">
        <v>363</v>
      </c>
      <c r="F242" s="26" t="s">
        <v>365</v>
      </c>
      <c r="G242" s="27">
        <v>700000</v>
      </c>
      <c r="H242" s="27">
        <v>700000</v>
      </c>
      <c r="I242" s="28">
        <f t="shared" si="95"/>
        <v>0</v>
      </c>
      <c r="J242" s="120"/>
    </row>
    <row r="243" spans="1:10" s="30" customFormat="1" ht="17.25" customHeight="1">
      <c r="A243" s="15"/>
      <c r="B243" s="32"/>
      <c r="C243" s="24"/>
      <c r="D243" s="31"/>
      <c r="E243" s="20" t="s">
        <v>363</v>
      </c>
      <c r="F243" s="26" t="s">
        <v>364</v>
      </c>
      <c r="G243" s="27">
        <v>1400000</v>
      </c>
      <c r="H243" s="27">
        <v>1400000</v>
      </c>
      <c r="I243" s="28">
        <f t="shared" si="95"/>
        <v>0</v>
      </c>
      <c r="J243" s="120"/>
    </row>
    <row r="244" spans="1:10" s="30" customFormat="1" ht="17.25" customHeight="1">
      <c r="A244" s="15"/>
      <c r="B244" s="32"/>
      <c r="C244" s="24"/>
      <c r="D244" s="31"/>
      <c r="E244" s="20" t="s">
        <v>363</v>
      </c>
      <c r="F244" s="26" t="s">
        <v>61</v>
      </c>
      <c r="G244" s="27">
        <v>800000</v>
      </c>
      <c r="H244" s="27">
        <v>800000</v>
      </c>
      <c r="I244" s="28">
        <f t="shared" si="95"/>
        <v>0</v>
      </c>
      <c r="J244" s="120"/>
    </row>
    <row r="245" spans="1:10" s="30" customFormat="1" ht="17.25" customHeight="1">
      <c r="A245" s="15"/>
      <c r="B245" s="32"/>
      <c r="C245" s="24"/>
      <c r="D245" s="31"/>
      <c r="E245" s="20" t="s">
        <v>363</v>
      </c>
      <c r="F245" s="26" t="s">
        <v>62</v>
      </c>
      <c r="G245" s="27">
        <v>2200000</v>
      </c>
      <c r="H245" s="27">
        <v>2200000</v>
      </c>
      <c r="I245" s="28">
        <f t="shared" si="95"/>
        <v>0</v>
      </c>
      <c r="J245" s="120"/>
    </row>
    <row r="246" spans="1:10" s="30" customFormat="1" ht="17.25" customHeight="1">
      <c r="A246" s="15"/>
      <c r="B246" s="32"/>
      <c r="C246" s="24"/>
      <c r="D246" s="42"/>
      <c r="E246" s="20" t="s">
        <v>363</v>
      </c>
      <c r="F246" s="26" t="s">
        <v>362</v>
      </c>
      <c r="G246" s="27">
        <v>500000</v>
      </c>
      <c r="H246" s="27">
        <v>500000</v>
      </c>
      <c r="I246" s="28">
        <f t="shared" si="95"/>
        <v>0</v>
      </c>
      <c r="J246" s="120"/>
    </row>
    <row r="247" spans="1:10" s="30" customFormat="1" ht="17.25" customHeight="1">
      <c r="A247" s="15"/>
      <c r="B247" s="176" t="s">
        <v>356</v>
      </c>
      <c r="C247" s="177"/>
      <c r="D247" s="177"/>
      <c r="E247" s="177"/>
      <c r="F247" s="16"/>
      <c r="G247" s="53">
        <f>G248+G256+G261</f>
        <v>59100000</v>
      </c>
      <c r="H247" s="53">
        <f t="shared" ref="H247:I247" si="99">H248+H256+H261</f>
        <v>62375000</v>
      </c>
      <c r="I247" s="53">
        <f t="shared" si="99"/>
        <v>-3275000</v>
      </c>
      <c r="J247" s="118"/>
    </row>
    <row r="248" spans="1:10" s="30" customFormat="1" ht="17.25" customHeight="1">
      <c r="A248" s="15"/>
      <c r="B248" s="32"/>
      <c r="C248" s="161" t="s">
        <v>521</v>
      </c>
      <c r="D248" s="162"/>
      <c r="E248" s="183"/>
      <c r="F248" s="62"/>
      <c r="G248" s="44">
        <f>G249+G252+G254</f>
        <v>27100000</v>
      </c>
      <c r="H248" s="44">
        <f t="shared" ref="H248:I248" si="100">H249+H252+H254</f>
        <v>27375000</v>
      </c>
      <c r="I248" s="44">
        <f t="shared" si="100"/>
        <v>-275000</v>
      </c>
      <c r="J248" s="119"/>
    </row>
    <row r="249" spans="1:10" s="30" customFormat="1" ht="17.25" customHeight="1">
      <c r="A249" s="15"/>
      <c r="B249" s="32"/>
      <c r="C249" s="141"/>
      <c r="D249" s="179" t="s">
        <v>407</v>
      </c>
      <c r="E249" s="180"/>
      <c r="F249" s="26"/>
      <c r="G249" s="45">
        <f>SUM(G250:G251)</f>
        <v>2300000</v>
      </c>
      <c r="H249" s="45">
        <f t="shared" ref="H249:I249" si="101">SUM(H250:H251)</f>
        <v>2375000</v>
      </c>
      <c r="I249" s="45">
        <f t="shared" si="101"/>
        <v>-75000</v>
      </c>
      <c r="J249" s="120"/>
    </row>
    <row r="250" spans="1:10" s="30" customFormat="1" ht="17.25" customHeight="1">
      <c r="A250" s="15"/>
      <c r="B250" s="32"/>
      <c r="C250" s="24"/>
      <c r="D250" s="60"/>
      <c r="E250" s="33" t="s">
        <v>590</v>
      </c>
      <c r="F250" s="26" t="s">
        <v>591</v>
      </c>
      <c r="G250" s="27">
        <v>2000000</v>
      </c>
      <c r="H250" s="27">
        <f>1000000+1075000</f>
        <v>2075000</v>
      </c>
      <c r="I250" s="28">
        <f t="shared" si="95"/>
        <v>-75000</v>
      </c>
      <c r="J250" s="120"/>
    </row>
    <row r="251" spans="1:10" s="30" customFormat="1" ht="17.25" customHeight="1">
      <c r="A251" s="15"/>
      <c r="B251" s="32"/>
      <c r="C251" s="24"/>
      <c r="D251" s="33"/>
      <c r="E251" s="35" t="s">
        <v>355</v>
      </c>
      <c r="F251" s="26" t="s">
        <v>592</v>
      </c>
      <c r="G251" s="27">
        <v>300000</v>
      </c>
      <c r="H251" s="27">
        <v>300000</v>
      </c>
      <c r="I251" s="28">
        <f t="shared" si="95"/>
        <v>0</v>
      </c>
      <c r="J251" s="120"/>
    </row>
    <row r="252" spans="1:10" s="30" customFormat="1" ht="17.25" customHeight="1">
      <c r="A252" s="15"/>
      <c r="B252" s="32"/>
      <c r="C252" s="24"/>
      <c r="D252" s="181" t="s">
        <v>397</v>
      </c>
      <c r="E252" s="182"/>
      <c r="F252" s="42"/>
      <c r="G252" s="50">
        <f>SUM(G253)</f>
        <v>24000000</v>
      </c>
      <c r="H252" s="50">
        <f t="shared" ref="H252:I252" si="102">SUM(H253)</f>
        <v>25000000</v>
      </c>
      <c r="I252" s="50">
        <f t="shared" si="102"/>
        <v>-1000000</v>
      </c>
      <c r="J252" s="122"/>
    </row>
    <row r="253" spans="1:10" s="30" customFormat="1" ht="17.25" customHeight="1">
      <c r="A253" s="15"/>
      <c r="B253" s="32"/>
      <c r="C253" s="24"/>
      <c r="D253" s="25"/>
      <c r="E253" s="20" t="s">
        <v>48</v>
      </c>
      <c r="F253" s="26" t="s">
        <v>594</v>
      </c>
      <c r="G253" s="27">
        <v>24000000</v>
      </c>
      <c r="H253" s="27">
        <v>25000000</v>
      </c>
      <c r="I253" s="28">
        <f t="shared" si="95"/>
        <v>-1000000</v>
      </c>
      <c r="J253" s="120"/>
    </row>
    <row r="254" spans="1:10" s="30" customFormat="1" ht="17.25" customHeight="1">
      <c r="A254" s="15"/>
      <c r="B254" s="32"/>
      <c r="C254" s="141"/>
      <c r="D254" s="179" t="s">
        <v>407</v>
      </c>
      <c r="E254" s="180"/>
      <c r="F254" s="26"/>
      <c r="G254" s="45">
        <f>SUM(G255)</f>
        <v>800000</v>
      </c>
      <c r="H254" s="45">
        <f t="shared" ref="H254:I254" si="103">SUM(H255)</f>
        <v>0</v>
      </c>
      <c r="I254" s="45">
        <f t="shared" si="103"/>
        <v>800000</v>
      </c>
      <c r="J254" s="120"/>
    </row>
    <row r="255" spans="1:10" s="30" customFormat="1" ht="17.25" customHeight="1">
      <c r="A255" s="15"/>
      <c r="B255" s="32"/>
      <c r="C255" s="24"/>
      <c r="D255" s="60"/>
      <c r="E255" s="33" t="s">
        <v>590</v>
      </c>
      <c r="F255" s="26" t="s">
        <v>595</v>
      </c>
      <c r="G255" s="27">
        <v>800000</v>
      </c>
      <c r="H255" s="27">
        <v>0</v>
      </c>
      <c r="I255" s="28">
        <f t="shared" si="95"/>
        <v>800000</v>
      </c>
      <c r="J255" s="120"/>
    </row>
    <row r="256" spans="1:10" s="30" customFormat="1" ht="17.25" customHeight="1">
      <c r="A256" s="15"/>
      <c r="B256" s="32"/>
      <c r="C256" s="161" t="s">
        <v>345</v>
      </c>
      <c r="D256" s="162"/>
      <c r="E256" s="183"/>
      <c r="F256" s="43"/>
      <c r="G256" s="44">
        <f>G257</f>
        <v>28000000</v>
      </c>
      <c r="H256" s="44">
        <f t="shared" ref="H256:I256" si="104">H257</f>
        <v>31000000</v>
      </c>
      <c r="I256" s="44">
        <f t="shared" si="104"/>
        <v>-3000000</v>
      </c>
      <c r="J256" s="119"/>
    </row>
    <row r="257" spans="1:10" s="30" customFormat="1" ht="17.25" customHeight="1">
      <c r="A257" s="15"/>
      <c r="B257" s="32"/>
      <c r="C257" s="24"/>
      <c r="D257" s="181" t="s">
        <v>580</v>
      </c>
      <c r="E257" s="182"/>
      <c r="F257" s="26"/>
      <c r="G257" s="45">
        <f>SUM(G258:G260)</f>
        <v>28000000</v>
      </c>
      <c r="H257" s="45">
        <f t="shared" ref="H257:I257" si="105">SUM(H258:H260)</f>
        <v>31000000</v>
      </c>
      <c r="I257" s="45">
        <f t="shared" si="105"/>
        <v>-3000000</v>
      </c>
      <c r="J257" s="120"/>
    </row>
    <row r="258" spans="1:10" s="30" customFormat="1" ht="17.25" customHeight="1">
      <c r="A258" s="15"/>
      <c r="B258" s="32"/>
      <c r="C258" s="24"/>
      <c r="D258" s="25"/>
      <c r="E258" s="35" t="s">
        <v>593</v>
      </c>
      <c r="F258" s="26" t="s">
        <v>344</v>
      </c>
      <c r="G258" s="27">
        <v>15000000</v>
      </c>
      <c r="H258" s="27">
        <v>17000000</v>
      </c>
      <c r="I258" s="28">
        <f t="shared" si="95"/>
        <v>-2000000</v>
      </c>
      <c r="J258" s="120" t="s">
        <v>577</v>
      </c>
    </row>
    <row r="259" spans="1:10" s="30" customFormat="1" ht="17.25" customHeight="1">
      <c r="A259" s="15"/>
      <c r="B259" s="32"/>
      <c r="C259" s="24"/>
      <c r="D259" s="31"/>
      <c r="E259" s="35" t="s">
        <v>593</v>
      </c>
      <c r="F259" s="26" t="s">
        <v>596</v>
      </c>
      <c r="G259" s="27">
        <v>9000000</v>
      </c>
      <c r="H259" s="27">
        <v>9000000</v>
      </c>
      <c r="I259" s="28">
        <f t="shared" si="95"/>
        <v>0</v>
      </c>
      <c r="J259" s="120"/>
    </row>
    <row r="260" spans="1:10" s="30" customFormat="1" ht="17.25" customHeight="1">
      <c r="A260" s="15"/>
      <c r="B260" s="32"/>
      <c r="C260" s="24"/>
      <c r="D260" s="24"/>
      <c r="E260" s="35" t="s">
        <v>593</v>
      </c>
      <c r="F260" s="26" t="s">
        <v>597</v>
      </c>
      <c r="G260" s="27">
        <v>4000000</v>
      </c>
      <c r="H260" s="27">
        <v>5000000</v>
      </c>
      <c r="I260" s="28">
        <f t="shared" si="95"/>
        <v>-1000000</v>
      </c>
      <c r="J260" s="120"/>
    </row>
    <row r="261" spans="1:10" s="30" customFormat="1" ht="17.25" customHeight="1">
      <c r="A261" s="15"/>
      <c r="B261" s="32"/>
      <c r="C261" s="161" t="s">
        <v>522</v>
      </c>
      <c r="D261" s="162"/>
      <c r="E261" s="183"/>
      <c r="F261" s="43"/>
      <c r="G261" s="44">
        <f>G262</f>
        <v>4000000</v>
      </c>
      <c r="H261" s="44">
        <f t="shared" ref="H261:I261" si="106">H262</f>
        <v>4000000</v>
      </c>
      <c r="I261" s="44">
        <f t="shared" si="106"/>
        <v>0</v>
      </c>
      <c r="J261" s="119"/>
    </row>
    <row r="262" spans="1:10" s="30" customFormat="1" ht="17.25" customHeight="1">
      <c r="A262" s="15"/>
      <c r="B262" s="32"/>
      <c r="C262" s="24"/>
      <c r="D262" s="179" t="s">
        <v>407</v>
      </c>
      <c r="E262" s="180"/>
      <c r="F262" s="26"/>
      <c r="G262" s="45">
        <f>SUM(G263)</f>
        <v>4000000</v>
      </c>
      <c r="H262" s="45">
        <f t="shared" ref="H262:I262" si="107">SUM(H263)</f>
        <v>4000000</v>
      </c>
      <c r="I262" s="45">
        <f t="shared" si="107"/>
        <v>0</v>
      </c>
      <c r="J262" s="120"/>
    </row>
    <row r="263" spans="1:10" s="30" customFormat="1" ht="17.25" customHeight="1">
      <c r="A263" s="15"/>
      <c r="B263" s="32"/>
      <c r="C263" s="24"/>
      <c r="D263" s="25"/>
      <c r="E263" s="20" t="s">
        <v>99</v>
      </c>
      <c r="F263" s="26" t="s">
        <v>598</v>
      </c>
      <c r="G263" s="27">
        <v>4000000</v>
      </c>
      <c r="H263" s="27">
        <v>4000000</v>
      </c>
      <c r="I263" s="28">
        <f t="shared" si="95"/>
        <v>0</v>
      </c>
      <c r="J263" s="120"/>
    </row>
    <row r="264" spans="1:10" s="30" customFormat="1" ht="17.25" customHeight="1">
      <c r="A264" s="15"/>
      <c r="B264" s="176" t="s">
        <v>343</v>
      </c>
      <c r="C264" s="177"/>
      <c r="D264" s="177"/>
      <c r="E264" s="178"/>
      <c r="F264" s="16"/>
      <c r="G264" s="53">
        <f>G265</f>
        <v>2900000</v>
      </c>
      <c r="H264" s="53">
        <f t="shared" ref="H264:I264" si="108">H265</f>
        <v>3000000</v>
      </c>
      <c r="I264" s="53">
        <f t="shared" si="108"/>
        <v>-100000</v>
      </c>
      <c r="J264" s="118"/>
    </row>
    <row r="265" spans="1:10" s="30" customFormat="1" ht="17.25" customHeight="1">
      <c r="A265" s="15"/>
      <c r="B265" s="32"/>
      <c r="C265" s="161" t="s">
        <v>523</v>
      </c>
      <c r="D265" s="162"/>
      <c r="E265" s="183"/>
      <c r="F265" s="43"/>
      <c r="G265" s="44">
        <f>G266+G268</f>
        <v>2900000</v>
      </c>
      <c r="H265" s="44">
        <f t="shared" ref="H265:I265" si="109">H266+H268</f>
        <v>3000000</v>
      </c>
      <c r="I265" s="44">
        <f t="shared" si="109"/>
        <v>-100000</v>
      </c>
      <c r="J265" s="119"/>
    </row>
    <row r="266" spans="1:10" s="30" customFormat="1" ht="17.25" customHeight="1">
      <c r="A266" s="15"/>
      <c r="B266" s="32"/>
      <c r="C266" s="24"/>
      <c r="D266" s="181" t="s">
        <v>599</v>
      </c>
      <c r="E266" s="182"/>
      <c r="F266" s="26"/>
      <c r="G266" s="45">
        <f>SUM(G267)</f>
        <v>2400000</v>
      </c>
      <c r="H266" s="45">
        <f t="shared" ref="H266:I266" si="110">SUM(H267)</f>
        <v>2000000</v>
      </c>
      <c r="I266" s="45">
        <f t="shared" si="110"/>
        <v>400000</v>
      </c>
      <c r="J266" s="120"/>
    </row>
    <row r="267" spans="1:10" s="30" customFormat="1" ht="17.25" customHeight="1">
      <c r="A267" s="15"/>
      <c r="B267" s="32"/>
      <c r="C267" s="24"/>
      <c r="D267" s="26"/>
      <c r="E267" s="35" t="s">
        <v>341</v>
      </c>
      <c r="F267" s="26" t="s">
        <v>600</v>
      </c>
      <c r="G267" s="27">
        <v>2400000</v>
      </c>
      <c r="H267" s="27">
        <f>400000+1600000</f>
        <v>2000000</v>
      </c>
      <c r="I267" s="28">
        <f t="shared" si="95"/>
        <v>400000</v>
      </c>
      <c r="J267" s="120" t="s">
        <v>641</v>
      </c>
    </row>
    <row r="268" spans="1:10" s="30" customFormat="1" ht="17.25" customHeight="1">
      <c r="A268" s="15"/>
      <c r="B268" s="32"/>
      <c r="C268" s="24"/>
      <c r="D268" s="179" t="s">
        <v>407</v>
      </c>
      <c r="E268" s="180"/>
      <c r="F268" s="26"/>
      <c r="G268" s="27">
        <f>SUM(G269)</f>
        <v>500000</v>
      </c>
      <c r="H268" s="27">
        <f t="shared" ref="H268:I268" si="111">SUM(H269)</f>
        <v>1000000</v>
      </c>
      <c r="I268" s="27">
        <f t="shared" si="111"/>
        <v>-500000</v>
      </c>
      <c r="J268" s="120"/>
    </row>
    <row r="269" spans="1:10" s="30" customFormat="1" ht="17.25" customHeight="1">
      <c r="A269" s="15"/>
      <c r="B269" s="32"/>
      <c r="C269" s="24"/>
      <c r="D269" s="24"/>
      <c r="E269" s="33" t="s">
        <v>586</v>
      </c>
      <c r="F269" s="26" t="s">
        <v>342</v>
      </c>
      <c r="G269" s="27">
        <v>500000</v>
      </c>
      <c r="H269" s="27">
        <v>1000000</v>
      </c>
      <c r="I269" s="28">
        <f t="shared" si="95"/>
        <v>-500000</v>
      </c>
      <c r="J269" s="120"/>
    </row>
    <row r="270" spans="1:10" s="30" customFormat="1" ht="17.25" customHeight="1">
      <c r="A270" s="15"/>
      <c r="B270" s="176" t="s">
        <v>340</v>
      </c>
      <c r="C270" s="177"/>
      <c r="D270" s="177"/>
      <c r="E270" s="178"/>
      <c r="F270" s="16"/>
      <c r="G270" s="53">
        <f>G271+G277+G283</f>
        <v>295650000</v>
      </c>
      <c r="H270" s="53">
        <f t="shared" ref="H270:I270" si="112">H271+H277+H283</f>
        <v>319850000</v>
      </c>
      <c r="I270" s="53">
        <f t="shared" si="112"/>
        <v>-24200000</v>
      </c>
      <c r="J270" s="118"/>
    </row>
    <row r="271" spans="1:10" s="30" customFormat="1" ht="17.25" customHeight="1">
      <c r="A271" s="15"/>
      <c r="B271" s="32"/>
      <c r="C271" s="161" t="s">
        <v>524</v>
      </c>
      <c r="D271" s="162"/>
      <c r="E271" s="183"/>
      <c r="F271" s="43"/>
      <c r="G271" s="44">
        <f>G272+G275</f>
        <v>141250000</v>
      </c>
      <c r="H271" s="44">
        <f t="shared" ref="H271:I271" si="113">H272+H275</f>
        <v>153250000</v>
      </c>
      <c r="I271" s="44">
        <f t="shared" si="113"/>
        <v>-12000000</v>
      </c>
      <c r="J271" s="119"/>
    </row>
    <row r="272" spans="1:10" s="30" customFormat="1" ht="17.25" customHeight="1">
      <c r="A272" s="15"/>
      <c r="B272" s="32"/>
      <c r="C272" s="24"/>
      <c r="D272" s="179" t="s">
        <v>580</v>
      </c>
      <c r="E272" s="180"/>
      <c r="F272" s="26"/>
      <c r="G272" s="45">
        <f>SUM(G273:G274)</f>
        <v>135750000</v>
      </c>
      <c r="H272" s="45">
        <f t="shared" ref="H272:I272" si="114">SUM(H273:H274)</f>
        <v>148000000</v>
      </c>
      <c r="I272" s="45">
        <f t="shared" si="114"/>
        <v>-12250000</v>
      </c>
      <c r="J272" s="120"/>
    </row>
    <row r="273" spans="1:10" s="30" customFormat="1" ht="17.25" customHeight="1">
      <c r="A273" s="15"/>
      <c r="B273" s="32"/>
      <c r="C273" s="24"/>
      <c r="D273" s="24"/>
      <c r="E273" s="33" t="s">
        <v>338</v>
      </c>
      <c r="F273" s="26" t="s">
        <v>24</v>
      </c>
      <c r="G273" s="27">
        <v>127750000</v>
      </c>
      <c r="H273" s="27">
        <v>140000000</v>
      </c>
      <c r="I273" s="28">
        <f t="shared" si="95"/>
        <v>-12250000</v>
      </c>
      <c r="J273" s="120"/>
    </row>
    <row r="274" spans="1:10" s="30" customFormat="1" ht="17.25" customHeight="1">
      <c r="A274" s="15"/>
      <c r="B274" s="32"/>
      <c r="C274" s="24"/>
      <c r="D274" s="42"/>
      <c r="E274" s="59" t="s">
        <v>602</v>
      </c>
      <c r="F274" s="26" t="s">
        <v>603</v>
      </c>
      <c r="G274" s="27">
        <v>8000000</v>
      </c>
      <c r="H274" s="27">
        <v>8000000</v>
      </c>
      <c r="I274" s="28">
        <f t="shared" si="95"/>
        <v>0</v>
      </c>
      <c r="J274" s="120"/>
    </row>
    <row r="275" spans="1:10" s="30" customFormat="1" ht="17.25" customHeight="1">
      <c r="A275" s="15"/>
      <c r="B275" s="32"/>
      <c r="C275" s="24"/>
      <c r="D275" s="179" t="s">
        <v>88</v>
      </c>
      <c r="E275" s="180"/>
      <c r="F275" s="26"/>
      <c r="G275" s="27">
        <f>SUM(G276)</f>
        <v>5500000</v>
      </c>
      <c r="H275" s="27">
        <f t="shared" ref="H275:I275" si="115">SUM(H276)</f>
        <v>5250000</v>
      </c>
      <c r="I275" s="27">
        <f t="shared" si="115"/>
        <v>250000</v>
      </c>
      <c r="J275" s="120"/>
    </row>
    <row r="276" spans="1:10" s="30" customFormat="1" ht="17.25" customHeight="1">
      <c r="A276" s="15"/>
      <c r="B276" s="32"/>
      <c r="C276" s="24"/>
      <c r="D276" s="24"/>
      <c r="E276" s="20" t="s">
        <v>269</v>
      </c>
      <c r="F276" s="26" t="s">
        <v>604</v>
      </c>
      <c r="G276" s="27">
        <f>3850000+850000+300000+500000</f>
        <v>5500000</v>
      </c>
      <c r="H276" s="27">
        <v>5250000</v>
      </c>
      <c r="I276" s="28">
        <f>G276-H276</f>
        <v>250000</v>
      </c>
      <c r="J276" s="120" t="s">
        <v>601</v>
      </c>
    </row>
    <row r="277" spans="1:10" s="30" customFormat="1" ht="17.25" customHeight="1">
      <c r="A277" s="15"/>
      <c r="B277" s="32"/>
      <c r="C277" s="161" t="s">
        <v>525</v>
      </c>
      <c r="D277" s="162"/>
      <c r="E277" s="183"/>
      <c r="F277" s="43"/>
      <c r="G277" s="44">
        <f>G278+G281</f>
        <v>54400000</v>
      </c>
      <c r="H277" s="44">
        <f t="shared" ref="H277:I277" si="116">H278+H281</f>
        <v>46600000</v>
      </c>
      <c r="I277" s="44">
        <f t="shared" si="116"/>
        <v>7800000</v>
      </c>
      <c r="J277" s="119"/>
    </row>
    <row r="278" spans="1:10" s="30" customFormat="1" ht="17.25" customHeight="1">
      <c r="A278" s="15"/>
      <c r="B278" s="32"/>
      <c r="C278" s="24"/>
      <c r="D278" s="179" t="s">
        <v>580</v>
      </c>
      <c r="E278" s="180"/>
      <c r="F278" s="26"/>
      <c r="G278" s="45">
        <f>SUM(G279:G280)</f>
        <v>54000000</v>
      </c>
      <c r="H278" s="45">
        <f t="shared" ref="H278:I278" si="117">SUM(H279:H280)</f>
        <v>46000000</v>
      </c>
      <c r="I278" s="45">
        <f t="shared" si="117"/>
        <v>8000000</v>
      </c>
      <c r="J278" s="120"/>
    </row>
    <row r="279" spans="1:10" s="30" customFormat="1" ht="17.25" customHeight="1">
      <c r="A279" s="15"/>
      <c r="B279" s="32"/>
      <c r="C279" s="24"/>
      <c r="D279" s="24"/>
      <c r="E279" s="33" t="s">
        <v>338</v>
      </c>
      <c r="F279" s="26" t="s">
        <v>25</v>
      </c>
      <c r="G279" s="27">
        <v>36000000</v>
      </c>
      <c r="H279" s="27">
        <v>36000000</v>
      </c>
      <c r="I279" s="28">
        <f>G279-H279</f>
        <v>0</v>
      </c>
      <c r="J279" s="120"/>
    </row>
    <row r="280" spans="1:10" s="30" customFormat="1" ht="17.25" customHeight="1">
      <c r="A280" s="15"/>
      <c r="B280" s="32"/>
      <c r="C280" s="24"/>
      <c r="D280" s="24"/>
      <c r="E280" s="35" t="s">
        <v>337</v>
      </c>
      <c r="F280" s="26" t="s">
        <v>336</v>
      </c>
      <c r="G280" s="27">
        <v>18000000</v>
      </c>
      <c r="H280" s="27">
        <v>10000000</v>
      </c>
      <c r="I280" s="28">
        <f>G280-H280</f>
        <v>8000000</v>
      </c>
      <c r="J280" s="120"/>
    </row>
    <row r="281" spans="1:10" s="30" customFormat="1" ht="17.25" customHeight="1">
      <c r="A281" s="15"/>
      <c r="B281" s="32"/>
      <c r="C281" s="24"/>
      <c r="D281" s="179" t="s">
        <v>88</v>
      </c>
      <c r="E281" s="180"/>
      <c r="F281" s="26"/>
      <c r="G281" s="27">
        <f>SUM(G282)</f>
        <v>400000</v>
      </c>
      <c r="H281" s="27">
        <f>SUM(H282)</f>
        <v>600000</v>
      </c>
      <c r="I281" s="27">
        <f>SUM(I282)</f>
        <v>-200000</v>
      </c>
      <c r="J281" s="120"/>
    </row>
    <row r="282" spans="1:10" s="30" customFormat="1" ht="17.25" customHeight="1">
      <c r="A282" s="15"/>
      <c r="B282" s="32"/>
      <c r="C282" s="24"/>
      <c r="D282" s="24"/>
      <c r="E282" s="20" t="s">
        <v>269</v>
      </c>
      <c r="F282" s="26" t="s">
        <v>339</v>
      </c>
      <c r="G282" s="27">
        <v>400000</v>
      </c>
      <c r="H282" s="27">
        <v>600000</v>
      </c>
      <c r="I282" s="28">
        <f t="shared" ref="I282:I289" si="118">G282-H282</f>
        <v>-200000</v>
      </c>
      <c r="J282" s="120"/>
    </row>
    <row r="283" spans="1:10" s="30" customFormat="1" ht="17.25" customHeight="1">
      <c r="A283" s="15"/>
      <c r="B283" s="32"/>
      <c r="C283" s="161" t="s">
        <v>354</v>
      </c>
      <c r="D283" s="162"/>
      <c r="E283" s="162"/>
      <c r="F283" s="43"/>
      <c r="G283" s="44">
        <f>G284+G290</f>
        <v>100000000</v>
      </c>
      <c r="H283" s="44">
        <f t="shared" ref="H283:I283" si="119">H284+H290</f>
        <v>120000000</v>
      </c>
      <c r="I283" s="44">
        <f t="shared" si="119"/>
        <v>-20000000</v>
      </c>
      <c r="J283" s="119"/>
    </row>
    <row r="284" spans="1:10" s="30" customFormat="1" ht="17.25" customHeight="1">
      <c r="A284" s="15"/>
      <c r="B284" s="32"/>
      <c r="C284" s="24"/>
      <c r="D284" s="179" t="s">
        <v>389</v>
      </c>
      <c r="E284" s="180"/>
      <c r="F284" s="42"/>
      <c r="G284" s="45">
        <f>SUM(G285:G289)</f>
        <v>53000000</v>
      </c>
      <c r="H284" s="45">
        <f t="shared" ref="H284:I284" si="120">SUM(H285:H289)</f>
        <v>74000000</v>
      </c>
      <c r="I284" s="45">
        <f t="shared" si="120"/>
        <v>-21000000</v>
      </c>
      <c r="J284" s="120"/>
    </row>
    <row r="285" spans="1:10" s="30" customFormat="1" ht="17.25" customHeight="1">
      <c r="A285" s="15"/>
      <c r="B285" s="32"/>
      <c r="C285" s="24"/>
      <c r="D285" s="24"/>
      <c r="E285" s="33" t="s">
        <v>288</v>
      </c>
      <c r="F285" s="26" t="s">
        <v>97</v>
      </c>
      <c r="G285" s="27">
        <v>15000000</v>
      </c>
      <c r="H285" s="27">
        <v>40000000</v>
      </c>
      <c r="I285" s="28">
        <f t="shared" si="118"/>
        <v>-25000000</v>
      </c>
      <c r="J285" s="120"/>
    </row>
    <row r="286" spans="1:10" s="30" customFormat="1" ht="17.25" customHeight="1">
      <c r="A286" s="15"/>
      <c r="B286" s="32"/>
      <c r="C286" s="24"/>
      <c r="D286" s="24"/>
      <c r="E286" s="35" t="s">
        <v>288</v>
      </c>
      <c r="F286" s="26" t="s">
        <v>353</v>
      </c>
      <c r="G286" s="27">
        <v>5000000</v>
      </c>
      <c r="H286" s="27">
        <v>0</v>
      </c>
      <c r="I286" s="28">
        <f t="shared" si="118"/>
        <v>5000000</v>
      </c>
      <c r="J286" s="120"/>
    </row>
    <row r="287" spans="1:10" s="30" customFormat="1" ht="17.25" customHeight="1">
      <c r="A287" s="15"/>
      <c r="B287" s="32"/>
      <c r="C287" s="24"/>
      <c r="D287" s="24"/>
      <c r="E287" s="35" t="s">
        <v>288</v>
      </c>
      <c r="F287" s="26" t="s">
        <v>352</v>
      </c>
      <c r="G287" s="27">
        <v>3000000</v>
      </c>
      <c r="H287" s="27">
        <v>3000000</v>
      </c>
      <c r="I287" s="28">
        <f t="shared" si="118"/>
        <v>0</v>
      </c>
      <c r="J287" s="120"/>
    </row>
    <row r="288" spans="1:10" s="30" customFormat="1" ht="17.25" customHeight="1">
      <c r="A288" s="15"/>
      <c r="B288" s="32"/>
      <c r="C288" s="24"/>
      <c r="D288" s="24"/>
      <c r="E288" s="35" t="s">
        <v>351</v>
      </c>
      <c r="F288" s="26" t="s">
        <v>350</v>
      </c>
      <c r="G288" s="27">
        <v>25000000</v>
      </c>
      <c r="H288" s="27">
        <v>31000000</v>
      </c>
      <c r="I288" s="28">
        <f t="shared" si="118"/>
        <v>-6000000</v>
      </c>
      <c r="J288" s="120" t="s">
        <v>349</v>
      </c>
    </row>
    <row r="289" spans="1:10" s="30" customFormat="1" ht="17.25" customHeight="1">
      <c r="A289" s="15"/>
      <c r="B289" s="32"/>
      <c r="C289" s="24"/>
      <c r="D289" s="24"/>
      <c r="E289" s="35" t="s">
        <v>288</v>
      </c>
      <c r="F289" s="26" t="s">
        <v>606</v>
      </c>
      <c r="G289" s="27">
        <v>5000000</v>
      </c>
      <c r="H289" s="27">
        <v>0</v>
      </c>
      <c r="I289" s="28">
        <f t="shared" si="118"/>
        <v>5000000</v>
      </c>
      <c r="J289" s="120"/>
    </row>
    <row r="290" spans="1:10" s="30" customFormat="1" ht="17.25" customHeight="1">
      <c r="A290" s="15"/>
      <c r="B290" s="32"/>
      <c r="C290" s="24"/>
      <c r="D290" s="179" t="s">
        <v>407</v>
      </c>
      <c r="E290" s="180"/>
      <c r="F290" s="26"/>
      <c r="G290" s="27">
        <f>SUM(G291:G294)</f>
        <v>47000000</v>
      </c>
      <c r="H290" s="27">
        <f t="shared" ref="H290:I290" si="121">SUM(H291:H294)</f>
        <v>46000000</v>
      </c>
      <c r="I290" s="27">
        <f t="shared" si="121"/>
        <v>1000000</v>
      </c>
      <c r="J290" s="120"/>
    </row>
    <row r="291" spans="1:10" s="30" customFormat="1" ht="17.25" customHeight="1">
      <c r="A291" s="15"/>
      <c r="B291" s="32"/>
      <c r="C291" s="24"/>
      <c r="D291" s="24"/>
      <c r="E291" s="35" t="s">
        <v>253</v>
      </c>
      <c r="F291" s="26" t="s">
        <v>348</v>
      </c>
      <c r="G291" s="27">
        <v>3000000</v>
      </c>
      <c r="H291" s="27">
        <v>3000000</v>
      </c>
      <c r="I291" s="28">
        <f t="shared" ref="I291:I315" si="122">G291-H291</f>
        <v>0</v>
      </c>
      <c r="J291" s="120"/>
    </row>
    <row r="292" spans="1:10" s="30" customFormat="1" ht="17.25" customHeight="1">
      <c r="A292" s="15"/>
      <c r="B292" s="32"/>
      <c r="C292" s="24"/>
      <c r="D292" s="24"/>
      <c r="E292" s="35" t="s">
        <v>253</v>
      </c>
      <c r="F292" s="26" t="s">
        <v>347</v>
      </c>
      <c r="G292" s="27">
        <v>8000000</v>
      </c>
      <c r="H292" s="27">
        <v>8000000</v>
      </c>
      <c r="I292" s="28">
        <f t="shared" si="122"/>
        <v>0</v>
      </c>
      <c r="J292" s="120"/>
    </row>
    <row r="293" spans="1:10" s="30" customFormat="1" ht="17.25" customHeight="1">
      <c r="A293" s="15"/>
      <c r="B293" s="32"/>
      <c r="C293" s="24"/>
      <c r="D293" s="24"/>
      <c r="E293" s="35" t="s">
        <v>253</v>
      </c>
      <c r="F293" s="26" t="s">
        <v>98</v>
      </c>
      <c r="G293" s="27">
        <v>5000000</v>
      </c>
      <c r="H293" s="27">
        <v>0</v>
      </c>
      <c r="I293" s="28">
        <f t="shared" si="122"/>
        <v>5000000</v>
      </c>
      <c r="J293" s="120"/>
    </row>
    <row r="294" spans="1:10" s="30" customFormat="1" ht="17.25" customHeight="1">
      <c r="A294" s="15"/>
      <c r="B294" s="32"/>
      <c r="C294" s="24"/>
      <c r="D294" s="24"/>
      <c r="E294" s="20" t="s">
        <v>253</v>
      </c>
      <c r="F294" s="26" t="s">
        <v>346</v>
      </c>
      <c r="G294" s="27">
        <v>31000000</v>
      </c>
      <c r="H294" s="27">
        <v>35000000</v>
      </c>
      <c r="I294" s="28">
        <f t="shared" si="122"/>
        <v>-4000000</v>
      </c>
      <c r="J294" s="120"/>
    </row>
    <row r="295" spans="1:10" s="30" customFormat="1" ht="17.25" customHeight="1">
      <c r="A295" s="187" t="s">
        <v>100</v>
      </c>
      <c r="B295" s="188"/>
      <c r="C295" s="188"/>
      <c r="D295" s="188"/>
      <c r="E295" s="189"/>
      <c r="F295" s="56"/>
      <c r="G295" s="57">
        <f>G296+G312+G316</f>
        <v>1308500000</v>
      </c>
      <c r="H295" s="57">
        <f t="shared" ref="H295:I295" si="123">H296+H312+H316</f>
        <v>1410500000</v>
      </c>
      <c r="I295" s="57">
        <f t="shared" si="123"/>
        <v>-102000000</v>
      </c>
      <c r="J295" s="124"/>
    </row>
    <row r="296" spans="1:10" s="30" customFormat="1" ht="17.25" customHeight="1">
      <c r="A296" s="15"/>
      <c r="B296" s="176" t="s">
        <v>335</v>
      </c>
      <c r="C296" s="177"/>
      <c r="D296" s="177"/>
      <c r="E296" s="178"/>
      <c r="F296" s="16"/>
      <c r="G296" s="17">
        <f>G297</f>
        <v>1000000000</v>
      </c>
      <c r="H296" s="17">
        <f t="shared" ref="H296:I296" si="124">H297</f>
        <v>1086500000</v>
      </c>
      <c r="I296" s="17">
        <f t="shared" si="124"/>
        <v>-86500000</v>
      </c>
      <c r="J296" s="118"/>
    </row>
    <row r="297" spans="1:10" s="30" customFormat="1" ht="17.25" customHeight="1">
      <c r="A297" s="15"/>
      <c r="B297" s="32"/>
      <c r="C297" s="161" t="s">
        <v>526</v>
      </c>
      <c r="D297" s="162"/>
      <c r="E297" s="183"/>
      <c r="F297" s="43"/>
      <c r="G297" s="22">
        <f>G298+G303+G306+G310</f>
        <v>1000000000</v>
      </c>
      <c r="H297" s="22">
        <f t="shared" ref="H297:I297" si="125">H298+H303+H306+H310</f>
        <v>1086500000</v>
      </c>
      <c r="I297" s="22">
        <f t="shared" si="125"/>
        <v>-86500000</v>
      </c>
      <c r="J297" s="119"/>
    </row>
    <row r="298" spans="1:10" s="30" customFormat="1" ht="17.25" customHeight="1">
      <c r="A298" s="15"/>
      <c r="B298" s="32"/>
      <c r="C298" s="24"/>
      <c r="D298" s="181" t="s">
        <v>599</v>
      </c>
      <c r="E298" s="182"/>
      <c r="F298" s="26"/>
      <c r="G298" s="27">
        <f>SUM(G299:G302)</f>
        <v>974000000</v>
      </c>
      <c r="H298" s="27">
        <f t="shared" ref="H298:I298" si="126">SUM(H299:H302)</f>
        <v>1050500000</v>
      </c>
      <c r="I298" s="27">
        <f t="shared" si="126"/>
        <v>-76500000</v>
      </c>
      <c r="J298" s="120"/>
    </row>
    <row r="299" spans="1:10" s="30" customFormat="1" ht="17.25" customHeight="1">
      <c r="A299" s="15"/>
      <c r="B299" s="32"/>
      <c r="C299" s="24"/>
      <c r="D299" s="25"/>
      <c r="E299" s="20" t="s">
        <v>11</v>
      </c>
      <c r="F299" s="26" t="s">
        <v>329</v>
      </c>
      <c r="G299" s="27">
        <v>605000000</v>
      </c>
      <c r="H299" s="27">
        <v>681500000</v>
      </c>
      <c r="I299" s="28">
        <f t="shared" si="122"/>
        <v>-76500000</v>
      </c>
      <c r="J299" s="120"/>
    </row>
    <row r="300" spans="1:10" s="30" customFormat="1" ht="17.25" customHeight="1">
      <c r="A300" s="15"/>
      <c r="B300" s="32"/>
      <c r="C300" s="24"/>
      <c r="D300" s="31"/>
      <c r="E300" s="20" t="s">
        <v>11</v>
      </c>
      <c r="F300" s="26" t="s">
        <v>332</v>
      </c>
      <c r="G300" s="27">
        <v>97000000</v>
      </c>
      <c r="H300" s="27">
        <v>97000000</v>
      </c>
      <c r="I300" s="28">
        <f t="shared" si="122"/>
        <v>0</v>
      </c>
      <c r="J300" s="120"/>
    </row>
    <row r="301" spans="1:10" s="30" customFormat="1" ht="17.25" customHeight="1">
      <c r="A301" s="15"/>
      <c r="B301" s="32"/>
      <c r="C301" s="24"/>
      <c r="D301" s="31"/>
      <c r="E301" s="20" t="s">
        <v>11</v>
      </c>
      <c r="F301" s="26" t="s">
        <v>331</v>
      </c>
      <c r="G301" s="27">
        <v>22000000</v>
      </c>
      <c r="H301" s="27">
        <v>22000000</v>
      </c>
      <c r="I301" s="28">
        <f t="shared" si="122"/>
        <v>0</v>
      </c>
      <c r="J301" s="120"/>
    </row>
    <row r="302" spans="1:10" s="30" customFormat="1" ht="17.25" customHeight="1">
      <c r="A302" s="15"/>
      <c r="B302" s="32"/>
      <c r="C302" s="24"/>
      <c r="D302" s="42"/>
      <c r="E302" s="20" t="s">
        <v>11</v>
      </c>
      <c r="F302" s="26" t="s">
        <v>328</v>
      </c>
      <c r="G302" s="27">
        <v>250000000</v>
      </c>
      <c r="H302" s="27">
        <v>250000000</v>
      </c>
      <c r="I302" s="28">
        <f t="shared" si="122"/>
        <v>0</v>
      </c>
      <c r="J302" s="120"/>
    </row>
    <row r="303" spans="1:10" s="30" customFormat="1" ht="17.25" customHeight="1">
      <c r="A303" s="15"/>
      <c r="B303" s="32"/>
      <c r="C303" s="24"/>
      <c r="D303" s="179" t="s">
        <v>404</v>
      </c>
      <c r="E303" s="180"/>
      <c r="F303" s="26"/>
      <c r="G303" s="27">
        <f>SUM(G304:G305)</f>
        <v>14000000</v>
      </c>
      <c r="H303" s="27">
        <f t="shared" ref="H303:I303" si="127">SUM(H304:H305)</f>
        <v>14000000</v>
      </c>
      <c r="I303" s="27">
        <f t="shared" si="127"/>
        <v>0</v>
      </c>
      <c r="J303" s="120"/>
    </row>
    <row r="304" spans="1:10" s="30" customFormat="1" ht="17.25" customHeight="1">
      <c r="A304" s="66"/>
      <c r="B304" s="67"/>
      <c r="C304" s="68"/>
      <c r="D304" s="68"/>
      <c r="E304" s="33" t="s">
        <v>278</v>
      </c>
      <c r="F304" s="26" t="s">
        <v>278</v>
      </c>
      <c r="G304" s="27">
        <v>10000000</v>
      </c>
      <c r="H304" s="27">
        <v>10000000</v>
      </c>
      <c r="I304" s="28">
        <f t="shared" si="122"/>
        <v>0</v>
      </c>
      <c r="J304" s="120"/>
    </row>
    <row r="305" spans="1:10" s="30" customFormat="1" ht="17.25" customHeight="1">
      <c r="A305" s="15"/>
      <c r="B305" s="32"/>
      <c r="C305" s="24"/>
      <c r="D305" s="24"/>
      <c r="E305" s="20" t="s">
        <v>276</v>
      </c>
      <c r="F305" s="26" t="s">
        <v>275</v>
      </c>
      <c r="G305" s="27">
        <v>4000000</v>
      </c>
      <c r="H305" s="27">
        <v>4000000</v>
      </c>
      <c r="I305" s="28">
        <f t="shared" si="122"/>
        <v>0</v>
      </c>
      <c r="J305" s="120"/>
    </row>
    <row r="306" spans="1:10" s="30" customFormat="1" ht="17.25" customHeight="1">
      <c r="A306" s="15"/>
      <c r="B306" s="32"/>
      <c r="C306" s="24"/>
      <c r="D306" s="179" t="s">
        <v>407</v>
      </c>
      <c r="E306" s="180"/>
      <c r="F306" s="26"/>
      <c r="G306" s="27">
        <f>SUM(G307:G309)</f>
        <v>9000000</v>
      </c>
      <c r="H306" s="27">
        <f t="shared" ref="H306:I306" si="128">SUM(H307:H309)</f>
        <v>19000000</v>
      </c>
      <c r="I306" s="27">
        <f t="shared" si="128"/>
        <v>-10000000</v>
      </c>
      <c r="J306" s="120"/>
    </row>
    <row r="307" spans="1:10" s="30" customFormat="1" ht="17.25" customHeight="1">
      <c r="A307" s="15"/>
      <c r="B307" s="32"/>
      <c r="C307" s="24"/>
      <c r="D307" s="24"/>
      <c r="E307" s="33" t="s">
        <v>259</v>
      </c>
      <c r="F307" s="26" t="s">
        <v>35</v>
      </c>
      <c r="G307" s="27">
        <v>3000000</v>
      </c>
      <c r="H307" s="27">
        <f>10000000+3000000</f>
        <v>13000000</v>
      </c>
      <c r="I307" s="28">
        <f t="shared" si="122"/>
        <v>-10000000</v>
      </c>
      <c r="J307" s="120"/>
    </row>
    <row r="308" spans="1:10" s="30" customFormat="1" ht="17.25" customHeight="1">
      <c r="A308" s="15"/>
      <c r="B308" s="32"/>
      <c r="C308" s="24"/>
      <c r="D308" s="24"/>
      <c r="E308" s="20" t="s">
        <v>101</v>
      </c>
      <c r="F308" s="26" t="s">
        <v>333</v>
      </c>
      <c r="G308" s="27">
        <v>1000000</v>
      </c>
      <c r="H308" s="27">
        <v>1000000</v>
      </c>
      <c r="I308" s="28">
        <f t="shared" si="122"/>
        <v>0</v>
      </c>
      <c r="J308" s="120"/>
    </row>
    <row r="309" spans="1:10" s="30" customFormat="1" ht="17.25" customHeight="1">
      <c r="A309" s="15"/>
      <c r="B309" s="32"/>
      <c r="C309" s="24"/>
      <c r="D309" s="42"/>
      <c r="E309" s="33" t="s">
        <v>306</v>
      </c>
      <c r="F309" s="26" t="s">
        <v>334</v>
      </c>
      <c r="G309" s="27">
        <v>5000000</v>
      </c>
      <c r="H309" s="27">
        <v>5000000</v>
      </c>
      <c r="I309" s="28">
        <f t="shared" si="122"/>
        <v>0</v>
      </c>
      <c r="J309" s="120"/>
    </row>
    <row r="310" spans="1:10" s="30" customFormat="1" ht="17.25" customHeight="1">
      <c r="A310" s="15"/>
      <c r="B310" s="32"/>
      <c r="C310" s="24"/>
      <c r="D310" s="181" t="s">
        <v>607</v>
      </c>
      <c r="E310" s="182"/>
      <c r="F310" s="26"/>
      <c r="G310" s="27">
        <f>SUM(G311)</f>
        <v>3000000</v>
      </c>
      <c r="H310" s="27">
        <f t="shared" ref="H310:I310" si="129">SUM(H311)</f>
        <v>3000000</v>
      </c>
      <c r="I310" s="27">
        <f t="shared" si="129"/>
        <v>0</v>
      </c>
      <c r="J310" s="120"/>
    </row>
    <row r="311" spans="1:10" s="30" customFormat="1" ht="17.25" customHeight="1">
      <c r="A311" s="15"/>
      <c r="B311" s="32"/>
      <c r="C311" s="24"/>
      <c r="D311" s="25"/>
      <c r="E311" s="20" t="s">
        <v>12</v>
      </c>
      <c r="F311" s="26" t="s">
        <v>330</v>
      </c>
      <c r="G311" s="27">
        <v>3000000</v>
      </c>
      <c r="H311" s="27">
        <v>3000000</v>
      </c>
      <c r="I311" s="28">
        <f t="shared" si="122"/>
        <v>0</v>
      </c>
      <c r="J311" s="120"/>
    </row>
    <row r="312" spans="1:10" s="30" customFormat="1" ht="17.25" customHeight="1">
      <c r="A312" s="15"/>
      <c r="B312" s="176" t="s">
        <v>102</v>
      </c>
      <c r="C312" s="177"/>
      <c r="D312" s="177"/>
      <c r="E312" s="178"/>
      <c r="F312" s="16"/>
      <c r="G312" s="17">
        <f>G313</f>
        <v>1000000</v>
      </c>
      <c r="H312" s="17">
        <f t="shared" ref="H312:I312" si="130">H313</f>
        <v>2000000</v>
      </c>
      <c r="I312" s="17">
        <f t="shared" si="130"/>
        <v>-1000000</v>
      </c>
      <c r="J312" s="118"/>
    </row>
    <row r="313" spans="1:10" s="65" customFormat="1" ht="17.25" customHeight="1">
      <c r="A313" s="15"/>
      <c r="B313" s="32"/>
      <c r="C313" s="190" t="s">
        <v>527</v>
      </c>
      <c r="D313" s="191"/>
      <c r="E313" s="192"/>
      <c r="F313" s="43"/>
      <c r="G313" s="22">
        <f>G314</f>
        <v>1000000</v>
      </c>
      <c r="H313" s="22">
        <f t="shared" ref="H313:I313" si="131">H314</f>
        <v>2000000</v>
      </c>
      <c r="I313" s="22">
        <f t="shared" si="131"/>
        <v>-1000000</v>
      </c>
      <c r="J313" s="119"/>
    </row>
    <row r="314" spans="1:10" s="65" customFormat="1" ht="17.25" customHeight="1">
      <c r="A314" s="15"/>
      <c r="B314" s="32"/>
      <c r="C314" s="24"/>
      <c r="D314" s="179" t="s">
        <v>389</v>
      </c>
      <c r="E314" s="180"/>
      <c r="F314" s="26"/>
      <c r="G314" s="27">
        <f>SUM(G315)</f>
        <v>1000000</v>
      </c>
      <c r="H314" s="27">
        <f t="shared" ref="H314:I314" si="132">SUM(H315)</f>
        <v>2000000</v>
      </c>
      <c r="I314" s="27">
        <f t="shared" si="132"/>
        <v>-1000000</v>
      </c>
      <c r="J314" s="120"/>
    </row>
    <row r="315" spans="1:10" s="65" customFormat="1" ht="17.25" customHeight="1">
      <c r="A315" s="15"/>
      <c r="B315" s="32"/>
      <c r="C315" s="24"/>
      <c r="D315" s="24"/>
      <c r="E315" s="33" t="s">
        <v>288</v>
      </c>
      <c r="F315" s="26" t="s">
        <v>327</v>
      </c>
      <c r="G315" s="27">
        <v>1000000</v>
      </c>
      <c r="H315" s="27">
        <v>2000000</v>
      </c>
      <c r="I315" s="28">
        <f t="shared" si="122"/>
        <v>-1000000</v>
      </c>
      <c r="J315" s="120" t="s">
        <v>326</v>
      </c>
    </row>
    <row r="316" spans="1:10" s="30" customFormat="1" ht="17.25" customHeight="1">
      <c r="A316" s="15"/>
      <c r="B316" s="176" t="s">
        <v>528</v>
      </c>
      <c r="C316" s="177"/>
      <c r="D316" s="177"/>
      <c r="E316" s="178"/>
      <c r="F316" s="16"/>
      <c r="G316" s="17">
        <f>G317</f>
        <v>307500000</v>
      </c>
      <c r="H316" s="17">
        <f t="shared" ref="H316:I316" si="133">H317</f>
        <v>322000000</v>
      </c>
      <c r="I316" s="17">
        <f t="shared" si="133"/>
        <v>-14500000</v>
      </c>
      <c r="J316" s="118"/>
    </row>
    <row r="317" spans="1:10" s="30" customFormat="1" ht="17.25" customHeight="1">
      <c r="A317" s="19"/>
      <c r="B317" s="31"/>
      <c r="C317" s="162" t="s">
        <v>529</v>
      </c>
      <c r="D317" s="162"/>
      <c r="E317" s="183"/>
      <c r="F317" s="22"/>
      <c r="G317" s="22">
        <f>G318+G320+G322+G325</f>
        <v>307500000</v>
      </c>
      <c r="H317" s="22">
        <f t="shared" ref="H317:I317" si="134">H318+H320+H322+H325</f>
        <v>322000000</v>
      </c>
      <c r="I317" s="22">
        <f t="shared" si="134"/>
        <v>-14500000</v>
      </c>
      <c r="J317" s="23"/>
    </row>
    <row r="318" spans="1:10" s="30" customFormat="1" ht="17.25" customHeight="1">
      <c r="A318" s="19"/>
      <c r="B318" s="31"/>
      <c r="C318" s="32"/>
      <c r="D318" s="179" t="s">
        <v>88</v>
      </c>
      <c r="E318" s="180"/>
      <c r="F318" s="148"/>
      <c r="G318" s="27">
        <f>G319</f>
        <v>2000000</v>
      </c>
      <c r="H318" s="27">
        <f t="shared" ref="H318:I318" si="135">H319</f>
        <v>0</v>
      </c>
      <c r="I318" s="27">
        <f t="shared" si="135"/>
        <v>2000000</v>
      </c>
      <c r="J318" s="29"/>
    </row>
    <row r="319" spans="1:10" ht="17.25" customHeight="1">
      <c r="B319" s="39"/>
      <c r="D319" s="38"/>
      <c r="E319" s="36" t="s">
        <v>269</v>
      </c>
      <c r="F319" s="36" t="s">
        <v>608</v>
      </c>
      <c r="G319" s="34">
        <v>2000000</v>
      </c>
      <c r="H319" s="34">
        <v>0</v>
      </c>
      <c r="I319" s="149">
        <f>G319-H319</f>
        <v>2000000</v>
      </c>
      <c r="J319" s="52"/>
    </row>
    <row r="320" spans="1:10" ht="17.25" customHeight="1">
      <c r="B320" s="39"/>
      <c r="D320" s="179" t="s">
        <v>609</v>
      </c>
      <c r="E320" s="180"/>
      <c r="F320" s="39"/>
      <c r="G320" s="150">
        <f>SUM(G321)</f>
        <v>25000000</v>
      </c>
      <c r="H320" s="150">
        <f t="shared" ref="H320:I320" si="136">SUM(H321)</f>
        <v>28500000</v>
      </c>
      <c r="I320" s="150">
        <f t="shared" si="136"/>
        <v>-3500000</v>
      </c>
      <c r="J320" s="146"/>
    </row>
    <row r="321" spans="1:10" s="30" customFormat="1" ht="17.25" customHeight="1">
      <c r="A321" s="19"/>
      <c r="B321" s="31"/>
      <c r="C321" s="32"/>
      <c r="D321" s="24"/>
      <c r="E321" s="42" t="s">
        <v>325</v>
      </c>
      <c r="F321" s="26" t="s">
        <v>324</v>
      </c>
      <c r="G321" s="27">
        <v>25000000</v>
      </c>
      <c r="H321" s="27">
        <v>28500000</v>
      </c>
      <c r="I321" s="28">
        <f>G321-H321</f>
        <v>-3500000</v>
      </c>
      <c r="J321" s="120"/>
    </row>
    <row r="322" spans="1:10" s="65" customFormat="1" ht="17.25" customHeight="1">
      <c r="A322" s="15"/>
      <c r="B322" s="32"/>
      <c r="C322" s="24"/>
      <c r="D322" s="179" t="s">
        <v>389</v>
      </c>
      <c r="E322" s="180"/>
      <c r="F322" s="26"/>
      <c r="G322" s="27">
        <f>SUM(G323:G324)</f>
        <v>8500000</v>
      </c>
      <c r="H322" s="27">
        <f t="shared" ref="H322:I322" si="137">SUM(H323:H324)</f>
        <v>1500000</v>
      </c>
      <c r="I322" s="27">
        <f t="shared" si="137"/>
        <v>7000000</v>
      </c>
      <c r="J322" s="120"/>
    </row>
    <row r="323" spans="1:10" s="30" customFormat="1" ht="17.25" customHeight="1">
      <c r="A323" s="19"/>
      <c r="B323" s="31"/>
      <c r="C323" s="32"/>
      <c r="D323" s="24"/>
      <c r="E323" s="31" t="s">
        <v>351</v>
      </c>
      <c r="F323" s="145" t="s">
        <v>610</v>
      </c>
      <c r="G323" s="27">
        <v>7000000</v>
      </c>
      <c r="H323" s="27">
        <v>0</v>
      </c>
      <c r="I323" s="28">
        <f>G323-H323</f>
        <v>7000000</v>
      </c>
      <c r="J323" s="120"/>
    </row>
    <row r="324" spans="1:10" s="30" customFormat="1" ht="17.25" customHeight="1">
      <c r="A324" s="19"/>
      <c r="B324" s="31"/>
      <c r="C324" s="32"/>
      <c r="D324" s="24"/>
      <c r="E324" s="25" t="s">
        <v>288</v>
      </c>
      <c r="F324" s="145" t="s">
        <v>323</v>
      </c>
      <c r="G324" s="27">
        <v>1500000</v>
      </c>
      <c r="H324" s="27">
        <v>1500000</v>
      </c>
      <c r="I324" s="28">
        <f>G324-H324</f>
        <v>0</v>
      </c>
      <c r="J324" s="120"/>
    </row>
    <row r="325" spans="1:10" s="30" customFormat="1" ht="17.25" customHeight="1">
      <c r="A325" s="19"/>
      <c r="B325" s="31"/>
      <c r="C325" s="32"/>
      <c r="D325" s="179" t="s">
        <v>599</v>
      </c>
      <c r="E325" s="180"/>
      <c r="F325" s="145"/>
      <c r="G325" s="27">
        <f>SUM(G326:G329)</f>
        <v>272000000</v>
      </c>
      <c r="H325" s="27">
        <f t="shared" ref="H325:I325" si="138">SUM(H326:H329)</f>
        <v>292000000</v>
      </c>
      <c r="I325" s="27">
        <f t="shared" si="138"/>
        <v>-20000000</v>
      </c>
      <c r="J325" s="120"/>
    </row>
    <row r="326" spans="1:10" s="30" customFormat="1" ht="17.25" customHeight="1">
      <c r="A326" s="19"/>
      <c r="B326" s="31"/>
      <c r="C326" s="32"/>
      <c r="D326" s="24"/>
      <c r="E326" s="26" t="s">
        <v>13</v>
      </c>
      <c r="F326" s="145" t="s">
        <v>322</v>
      </c>
      <c r="G326" s="27">
        <v>190000000</v>
      </c>
      <c r="H326" s="27">
        <v>190000000</v>
      </c>
      <c r="I326" s="28">
        <f t="shared" ref="I326:I356" si="139">G326-H326</f>
        <v>0</v>
      </c>
      <c r="J326" s="120"/>
    </row>
    <row r="327" spans="1:10" s="30" customFormat="1" ht="17.25" customHeight="1">
      <c r="A327" s="19"/>
      <c r="B327" s="31"/>
      <c r="C327" s="32"/>
      <c r="D327" s="24"/>
      <c r="E327" s="25" t="s">
        <v>13</v>
      </c>
      <c r="F327" s="145" t="s">
        <v>321</v>
      </c>
      <c r="G327" s="27">
        <v>40000000</v>
      </c>
      <c r="H327" s="27">
        <v>40000000</v>
      </c>
      <c r="I327" s="28">
        <f t="shared" si="139"/>
        <v>0</v>
      </c>
      <c r="J327" s="120"/>
    </row>
    <row r="328" spans="1:10" s="30" customFormat="1" ht="17.25" customHeight="1">
      <c r="A328" s="19"/>
      <c r="B328" s="31"/>
      <c r="C328" s="32"/>
      <c r="D328" s="24"/>
      <c r="E328" s="26" t="s">
        <v>13</v>
      </c>
      <c r="F328" s="145" t="s">
        <v>320</v>
      </c>
      <c r="G328" s="27">
        <v>12000000</v>
      </c>
      <c r="H328" s="27">
        <v>12000000</v>
      </c>
      <c r="I328" s="28">
        <f t="shared" si="139"/>
        <v>0</v>
      </c>
      <c r="J328" s="120"/>
    </row>
    <row r="329" spans="1:10" s="30" customFormat="1" ht="17.25" customHeight="1">
      <c r="A329" s="19"/>
      <c r="B329" s="31"/>
      <c r="C329" s="32"/>
      <c r="D329" s="33"/>
      <c r="E329" s="26" t="s">
        <v>319</v>
      </c>
      <c r="F329" s="145" t="s">
        <v>318</v>
      </c>
      <c r="G329" s="27">
        <v>30000000</v>
      </c>
      <c r="H329" s="27">
        <v>50000000</v>
      </c>
      <c r="I329" s="28">
        <f t="shared" si="139"/>
        <v>-20000000</v>
      </c>
      <c r="J329" s="120"/>
    </row>
    <row r="330" spans="1:10" s="30" customFormat="1" ht="17.25" customHeight="1">
      <c r="A330" s="187" t="s">
        <v>317</v>
      </c>
      <c r="B330" s="188"/>
      <c r="C330" s="188"/>
      <c r="D330" s="188"/>
      <c r="E330" s="189"/>
      <c r="F330" s="56"/>
      <c r="G330" s="57">
        <f>G331+G361+G378</f>
        <v>634140200</v>
      </c>
      <c r="H330" s="57">
        <f t="shared" ref="H330:I330" si="140">H331+H361+H378</f>
        <v>457499000</v>
      </c>
      <c r="I330" s="57">
        <f t="shared" si="140"/>
        <v>176641200</v>
      </c>
      <c r="J330" s="124"/>
    </row>
    <row r="331" spans="1:10" s="30" customFormat="1" ht="17.25" customHeight="1">
      <c r="A331" s="15"/>
      <c r="B331" s="176" t="s">
        <v>316</v>
      </c>
      <c r="C331" s="177"/>
      <c r="D331" s="177"/>
      <c r="E331" s="178"/>
      <c r="F331" s="16"/>
      <c r="G331" s="17">
        <f>G332+G353</f>
        <v>389372000</v>
      </c>
      <c r="H331" s="17">
        <f t="shared" ref="H331:I331" si="141">H332+H353</f>
        <v>381811000</v>
      </c>
      <c r="I331" s="17">
        <f t="shared" si="141"/>
        <v>7561000</v>
      </c>
      <c r="J331" s="118"/>
    </row>
    <row r="332" spans="1:10" s="30" customFormat="1" ht="17.25" customHeight="1">
      <c r="A332" s="15"/>
      <c r="B332" s="32"/>
      <c r="C332" s="161" t="s">
        <v>311</v>
      </c>
      <c r="D332" s="162"/>
      <c r="E332" s="183"/>
      <c r="F332" s="43"/>
      <c r="G332" s="22">
        <f>G333+G343+G345+G347+G350</f>
        <v>369872000</v>
      </c>
      <c r="H332" s="22">
        <f t="shared" ref="H332:I332" si="142">H333+H343+H345+H347+H350</f>
        <v>360822000</v>
      </c>
      <c r="I332" s="22">
        <f t="shared" si="142"/>
        <v>9050000</v>
      </c>
      <c r="J332" s="119"/>
    </row>
    <row r="333" spans="1:10" s="30" customFormat="1" ht="17.25" customHeight="1">
      <c r="A333" s="15"/>
      <c r="B333" s="32"/>
      <c r="C333" s="24"/>
      <c r="D333" s="179" t="s">
        <v>407</v>
      </c>
      <c r="E333" s="180"/>
      <c r="F333" s="26"/>
      <c r="G333" s="27">
        <f>SUM(G334:G342)</f>
        <v>23150000</v>
      </c>
      <c r="H333" s="27">
        <f t="shared" ref="H333:I333" si="143">SUM(H334:H342)</f>
        <v>23700000</v>
      </c>
      <c r="I333" s="27">
        <f t="shared" si="143"/>
        <v>-550000</v>
      </c>
      <c r="J333" s="120"/>
    </row>
    <row r="334" spans="1:10" s="30" customFormat="1" ht="17.25" customHeight="1">
      <c r="A334" s="15"/>
      <c r="B334" s="32"/>
      <c r="C334" s="24"/>
      <c r="D334" s="24"/>
      <c r="E334" s="33" t="s">
        <v>14</v>
      </c>
      <c r="F334" s="26" t="s">
        <v>315</v>
      </c>
      <c r="G334" s="27">
        <v>800000</v>
      </c>
      <c r="H334" s="27">
        <v>800000</v>
      </c>
      <c r="I334" s="28">
        <f t="shared" si="139"/>
        <v>0</v>
      </c>
      <c r="J334" s="120"/>
    </row>
    <row r="335" spans="1:10" s="30" customFormat="1" ht="17.25" customHeight="1">
      <c r="A335" s="15"/>
      <c r="B335" s="32"/>
      <c r="C335" s="24"/>
      <c r="D335" s="24"/>
      <c r="E335" s="35" t="s">
        <v>14</v>
      </c>
      <c r="F335" s="26" t="s">
        <v>612</v>
      </c>
      <c r="G335" s="27">
        <v>10000000</v>
      </c>
      <c r="H335" s="27">
        <v>10000000</v>
      </c>
      <c r="I335" s="28">
        <f t="shared" si="139"/>
        <v>0</v>
      </c>
      <c r="J335" s="120" t="s">
        <v>312</v>
      </c>
    </row>
    <row r="336" spans="1:10" s="30" customFormat="1" ht="17.25" customHeight="1">
      <c r="A336" s="15"/>
      <c r="B336" s="32"/>
      <c r="C336" s="24"/>
      <c r="D336" s="24"/>
      <c r="E336" s="33" t="s">
        <v>253</v>
      </c>
      <c r="F336" s="26" t="s">
        <v>613</v>
      </c>
      <c r="G336" s="27">
        <v>1000000</v>
      </c>
      <c r="H336" s="27">
        <v>500000</v>
      </c>
      <c r="I336" s="28">
        <f t="shared" si="139"/>
        <v>500000</v>
      </c>
      <c r="J336" s="120"/>
    </row>
    <row r="337" spans="1:10" s="30" customFormat="1" ht="17.25" customHeight="1">
      <c r="A337" s="15"/>
      <c r="B337" s="32"/>
      <c r="C337" s="24"/>
      <c r="D337" s="24"/>
      <c r="E337" s="20" t="s">
        <v>253</v>
      </c>
      <c r="F337" s="26" t="s">
        <v>615</v>
      </c>
      <c r="G337" s="27">
        <v>6000000</v>
      </c>
      <c r="H337" s="27">
        <v>7400000</v>
      </c>
      <c r="I337" s="28">
        <f t="shared" si="139"/>
        <v>-1400000</v>
      </c>
      <c r="J337" s="120" t="s">
        <v>309</v>
      </c>
    </row>
    <row r="338" spans="1:10" s="30" customFormat="1" ht="17.25" customHeight="1">
      <c r="A338" s="15"/>
      <c r="B338" s="32"/>
      <c r="C338" s="24"/>
      <c r="D338" s="24"/>
      <c r="E338" s="25" t="s">
        <v>253</v>
      </c>
      <c r="F338" s="26" t="s">
        <v>616</v>
      </c>
      <c r="G338" s="27">
        <v>1000000</v>
      </c>
      <c r="H338" s="27">
        <v>1000000</v>
      </c>
      <c r="I338" s="28">
        <f t="shared" si="139"/>
        <v>0</v>
      </c>
      <c r="J338" s="120"/>
    </row>
    <row r="339" spans="1:10" s="30" customFormat="1" ht="17.25" customHeight="1">
      <c r="A339" s="15"/>
      <c r="B339" s="32"/>
      <c r="C339" s="24"/>
      <c r="D339" s="24"/>
      <c r="E339" s="33" t="s">
        <v>306</v>
      </c>
      <c r="F339" s="26" t="s">
        <v>614</v>
      </c>
      <c r="G339" s="27">
        <v>350000</v>
      </c>
      <c r="H339" s="27">
        <v>0</v>
      </c>
      <c r="I339" s="28">
        <f t="shared" si="139"/>
        <v>350000</v>
      </c>
      <c r="J339" s="120"/>
    </row>
    <row r="340" spans="1:10" s="30" customFormat="1" ht="17.25" customHeight="1">
      <c r="A340" s="15"/>
      <c r="B340" s="32"/>
      <c r="C340" s="24"/>
      <c r="D340" s="24"/>
      <c r="E340" s="33" t="s">
        <v>306</v>
      </c>
      <c r="F340" s="26" t="s">
        <v>308</v>
      </c>
      <c r="G340" s="27">
        <v>2000000</v>
      </c>
      <c r="H340" s="27">
        <v>2000000</v>
      </c>
      <c r="I340" s="28">
        <f t="shared" si="139"/>
        <v>0</v>
      </c>
      <c r="J340" s="120"/>
    </row>
    <row r="341" spans="1:10" s="30" customFormat="1" ht="17.25" customHeight="1">
      <c r="A341" s="15"/>
      <c r="B341" s="32"/>
      <c r="C341" s="24"/>
      <c r="D341" s="24"/>
      <c r="E341" s="26" t="s">
        <v>306</v>
      </c>
      <c r="F341" s="26" t="s">
        <v>305</v>
      </c>
      <c r="G341" s="27">
        <v>500000</v>
      </c>
      <c r="H341" s="27">
        <v>500000</v>
      </c>
      <c r="I341" s="28">
        <f t="shared" si="139"/>
        <v>0</v>
      </c>
      <c r="J341" s="120"/>
    </row>
    <row r="342" spans="1:10" s="30" customFormat="1" ht="17.25" customHeight="1">
      <c r="A342" s="15"/>
      <c r="B342" s="32"/>
      <c r="C342" s="24"/>
      <c r="D342" s="24"/>
      <c r="E342" s="26" t="s">
        <v>101</v>
      </c>
      <c r="F342" s="26" t="s">
        <v>304</v>
      </c>
      <c r="G342" s="27">
        <v>1500000</v>
      </c>
      <c r="H342" s="27">
        <v>1500000</v>
      </c>
      <c r="I342" s="28">
        <f t="shared" si="139"/>
        <v>0</v>
      </c>
      <c r="J342" s="120"/>
    </row>
    <row r="343" spans="1:10" s="30" customFormat="1" ht="17.25" customHeight="1">
      <c r="A343" s="15"/>
      <c r="B343" s="32"/>
      <c r="C343" s="24"/>
      <c r="D343" s="179" t="s">
        <v>611</v>
      </c>
      <c r="E343" s="180"/>
      <c r="F343" s="26"/>
      <c r="G343" s="27">
        <f>SUM(G344)</f>
        <v>28000000</v>
      </c>
      <c r="H343" s="27">
        <f t="shared" ref="H343:I343" si="144">SUM(H344)</f>
        <v>30000000</v>
      </c>
      <c r="I343" s="27">
        <f t="shared" si="144"/>
        <v>-2000000</v>
      </c>
      <c r="J343" s="120"/>
    </row>
    <row r="344" spans="1:10" s="30" customFormat="1" ht="17.25" customHeight="1">
      <c r="A344" s="15"/>
      <c r="B344" s="32"/>
      <c r="C344" s="24"/>
      <c r="D344" s="24"/>
      <c r="E344" s="20" t="s">
        <v>314</v>
      </c>
      <c r="F344" s="26" t="s">
        <v>313</v>
      </c>
      <c r="G344" s="27">
        <v>28000000</v>
      </c>
      <c r="H344" s="27">
        <v>30000000</v>
      </c>
      <c r="I344" s="28">
        <f t="shared" si="139"/>
        <v>-2000000</v>
      </c>
      <c r="J344" s="120" t="s">
        <v>650</v>
      </c>
    </row>
    <row r="345" spans="1:10" s="30" customFormat="1" ht="17.25" customHeight="1">
      <c r="A345" s="15"/>
      <c r="B345" s="32"/>
      <c r="C345" s="24"/>
      <c r="D345" s="179" t="s">
        <v>554</v>
      </c>
      <c r="E345" s="180"/>
      <c r="F345" s="26"/>
      <c r="G345" s="27">
        <f>SUM(G346)</f>
        <v>236722000</v>
      </c>
      <c r="H345" s="27">
        <f t="shared" ref="H345:I345" si="145">SUM(H346)</f>
        <v>236722000</v>
      </c>
      <c r="I345" s="27">
        <f t="shared" si="145"/>
        <v>0</v>
      </c>
      <c r="J345" s="120"/>
    </row>
    <row r="346" spans="1:10" s="30" customFormat="1" ht="17.25" customHeight="1">
      <c r="A346" s="15"/>
      <c r="B346" s="32"/>
      <c r="C346" s="24"/>
      <c r="D346" s="26"/>
      <c r="E346" s="26" t="s">
        <v>589</v>
      </c>
      <c r="F346" s="26" t="s">
        <v>310</v>
      </c>
      <c r="G346" s="27">
        <v>236722000</v>
      </c>
      <c r="H346" s="27">
        <v>236722000</v>
      </c>
      <c r="I346" s="28">
        <f t="shared" si="139"/>
        <v>0</v>
      </c>
      <c r="J346" s="120"/>
    </row>
    <row r="347" spans="1:10" s="30" customFormat="1" ht="17.25" customHeight="1">
      <c r="A347" s="15"/>
      <c r="B347" s="32"/>
      <c r="C347" s="24"/>
      <c r="D347" s="179" t="s">
        <v>389</v>
      </c>
      <c r="E347" s="180"/>
      <c r="F347" s="26"/>
      <c r="G347" s="27">
        <f>SUM(G348:G349)</f>
        <v>1000000</v>
      </c>
      <c r="H347" s="27">
        <f t="shared" ref="H347:I347" si="146">SUM(H348:H349)</f>
        <v>1100000</v>
      </c>
      <c r="I347" s="27">
        <f t="shared" si="146"/>
        <v>-100000</v>
      </c>
      <c r="J347" s="120"/>
    </row>
    <row r="348" spans="1:10" s="30" customFormat="1" ht="17.25" customHeight="1">
      <c r="A348" s="15"/>
      <c r="B348" s="32"/>
      <c r="C348" s="24"/>
      <c r="D348" s="25"/>
      <c r="E348" s="20" t="s">
        <v>288</v>
      </c>
      <c r="F348" s="26" t="s">
        <v>307</v>
      </c>
      <c r="G348" s="27">
        <v>500000</v>
      </c>
      <c r="H348" s="27">
        <v>600000</v>
      </c>
      <c r="I348" s="28">
        <f t="shared" si="139"/>
        <v>-100000</v>
      </c>
      <c r="J348" s="120"/>
    </row>
    <row r="349" spans="1:10" s="30" customFormat="1" ht="17.25" customHeight="1">
      <c r="A349" s="15"/>
      <c r="B349" s="32"/>
      <c r="C349" s="24"/>
      <c r="D349" s="31"/>
      <c r="E349" s="20" t="s">
        <v>288</v>
      </c>
      <c r="F349" s="26" t="s">
        <v>303</v>
      </c>
      <c r="G349" s="27">
        <v>500000</v>
      </c>
      <c r="H349" s="27">
        <v>500000</v>
      </c>
      <c r="I349" s="28">
        <f t="shared" si="139"/>
        <v>0</v>
      </c>
      <c r="J349" s="120"/>
    </row>
    <row r="350" spans="1:10" s="30" customFormat="1" ht="17.25" customHeight="1">
      <c r="A350" s="15"/>
      <c r="B350" s="32"/>
      <c r="C350" s="24"/>
      <c r="D350" s="179" t="s">
        <v>599</v>
      </c>
      <c r="E350" s="180"/>
      <c r="F350" s="26"/>
      <c r="G350" s="27">
        <f>SUM(G351:G352)</f>
        <v>81000000</v>
      </c>
      <c r="H350" s="27">
        <f t="shared" ref="H350:I350" si="147">SUM(H351:H352)</f>
        <v>69300000</v>
      </c>
      <c r="I350" s="27">
        <f t="shared" si="147"/>
        <v>11700000</v>
      </c>
      <c r="J350" s="120"/>
    </row>
    <row r="351" spans="1:10" s="30" customFormat="1" ht="17.25" customHeight="1">
      <c r="A351" s="15"/>
      <c r="B351" s="32"/>
      <c r="C351" s="24"/>
      <c r="D351" s="24"/>
      <c r="E351" s="33" t="s">
        <v>13</v>
      </c>
      <c r="F351" s="26" t="s">
        <v>617</v>
      </c>
      <c r="G351" s="27">
        <v>70000000</v>
      </c>
      <c r="H351" s="27">
        <f>35000000+25000000</f>
        <v>60000000</v>
      </c>
      <c r="I351" s="28">
        <f t="shared" si="139"/>
        <v>10000000</v>
      </c>
      <c r="J351" s="120"/>
    </row>
    <row r="352" spans="1:10" s="30" customFormat="1" ht="17.25" customHeight="1">
      <c r="A352" s="15"/>
      <c r="B352" s="32"/>
      <c r="C352" s="24"/>
      <c r="D352" s="24"/>
      <c r="E352" s="33" t="s">
        <v>13</v>
      </c>
      <c r="F352" s="26" t="s">
        <v>618</v>
      </c>
      <c r="G352" s="27">
        <v>11000000</v>
      </c>
      <c r="H352" s="27">
        <f>5000000+4300000</f>
        <v>9300000</v>
      </c>
      <c r="I352" s="28">
        <f t="shared" si="139"/>
        <v>1700000</v>
      </c>
      <c r="J352" s="120"/>
    </row>
    <row r="353" spans="1:10" s="30" customFormat="1" ht="17.25" customHeight="1">
      <c r="A353" s="15"/>
      <c r="B353" s="32"/>
      <c r="C353" s="161" t="s">
        <v>530</v>
      </c>
      <c r="D353" s="162"/>
      <c r="E353" s="183"/>
      <c r="F353" s="43"/>
      <c r="G353" s="22">
        <f>G354+G357+G359</f>
        <v>19500000</v>
      </c>
      <c r="H353" s="22">
        <f t="shared" ref="H353:I353" si="148">H354+H357+H359</f>
        <v>20989000</v>
      </c>
      <c r="I353" s="22">
        <f t="shared" si="148"/>
        <v>-1489000</v>
      </c>
      <c r="J353" s="119"/>
    </row>
    <row r="354" spans="1:10" s="30" customFormat="1" ht="17.25" customHeight="1">
      <c r="A354" s="15"/>
      <c r="B354" s="32"/>
      <c r="C354" s="24"/>
      <c r="D354" s="179" t="s">
        <v>599</v>
      </c>
      <c r="E354" s="180"/>
      <c r="F354" s="26"/>
      <c r="G354" s="27">
        <f>SUM(G355:G356)</f>
        <v>13000000</v>
      </c>
      <c r="H354" s="27">
        <f t="shared" ref="H354:I354" si="149">SUM(H355:H356)</f>
        <v>13000000</v>
      </c>
      <c r="I354" s="27">
        <f t="shared" si="149"/>
        <v>0</v>
      </c>
      <c r="J354" s="120"/>
    </row>
    <row r="355" spans="1:10" s="30" customFormat="1" ht="17.25" customHeight="1">
      <c r="A355" s="15"/>
      <c r="B355" s="32"/>
      <c r="C355" s="24"/>
      <c r="D355" s="24"/>
      <c r="E355" s="33" t="s">
        <v>13</v>
      </c>
      <c r="F355" s="26" t="s">
        <v>619</v>
      </c>
      <c r="G355" s="27">
        <v>10000000</v>
      </c>
      <c r="H355" s="27">
        <f>5000000+5000000</f>
        <v>10000000</v>
      </c>
      <c r="I355" s="28">
        <f t="shared" si="139"/>
        <v>0</v>
      </c>
      <c r="J355" s="120"/>
    </row>
    <row r="356" spans="1:10" s="30" customFormat="1" ht="17.25" customHeight="1">
      <c r="A356" s="15"/>
      <c r="B356" s="32"/>
      <c r="C356" s="24"/>
      <c r="D356" s="24"/>
      <c r="E356" s="20" t="s">
        <v>13</v>
      </c>
      <c r="F356" s="26" t="s">
        <v>302</v>
      </c>
      <c r="G356" s="27">
        <v>3000000</v>
      </c>
      <c r="H356" s="27">
        <v>3000000</v>
      </c>
      <c r="I356" s="28">
        <f t="shared" si="139"/>
        <v>0</v>
      </c>
      <c r="J356" s="120"/>
    </row>
    <row r="357" spans="1:10" s="30" customFormat="1" ht="17.25" customHeight="1">
      <c r="A357" s="15"/>
      <c r="B357" s="32"/>
      <c r="C357" s="24"/>
      <c r="D357" s="179" t="s">
        <v>620</v>
      </c>
      <c r="E357" s="180"/>
      <c r="F357" s="26"/>
      <c r="G357" s="27">
        <f>SUM(G358)</f>
        <v>1500000</v>
      </c>
      <c r="H357" s="27">
        <f t="shared" ref="H357:I357" si="150">SUM(H358)</f>
        <v>1000000</v>
      </c>
      <c r="I357" s="27">
        <f t="shared" si="150"/>
        <v>500000</v>
      </c>
      <c r="J357" s="120"/>
    </row>
    <row r="358" spans="1:10" s="30" customFormat="1" ht="17.25" customHeight="1">
      <c r="A358" s="15"/>
      <c r="B358" s="32"/>
      <c r="C358" s="24"/>
      <c r="D358" s="25"/>
      <c r="E358" s="20" t="s">
        <v>301</v>
      </c>
      <c r="F358" s="25" t="s">
        <v>300</v>
      </c>
      <c r="G358" s="47">
        <v>1500000</v>
      </c>
      <c r="H358" s="27">
        <f>500000+500000</f>
        <v>1000000</v>
      </c>
      <c r="I358" s="28">
        <f t="shared" ref="I358:I391" si="151">G358-H358</f>
        <v>500000</v>
      </c>
      <c r="J358" s="120" t="s">
        <v>649</v>
      </c>
    </row>
    <row r="359" spans="1:10" s="30" customFormat="1" ht="17.25" customHeight="1">
      <c r="A359" s="15"/>
      <c r="B359" s="32"/>
      <c r="C359" s="24"/>
      <c r="D359" s="179" t="s">
        <v>621</v>
      </c>
      <c r="E359" s="175"/>
      <c r="F359" s="26"/>
      <c r="G359" s="27">
        <f>SUM(G360)</f>
        <v>5000000</v>
      </c>
      <c r="H359" s="27">
        <f t="shared" ref="H359:I359" si="152">SUM(H360)</f>
        <v>6989000</v>
      </c>
      <c r="I359" s="27">
        <f t="shared" si="152"/>
        <v>-1989000</v>
      </c>
      <c r="J359" s="120"/>
    </row>
    <row r="360" spans="1:10" s="30" customFormat="1" ht="17.25" customHeight="1">
      <c r="A360" s="15"/>
      <c r="B360" s="32"/>
      <c r="C360" s="24"/>
      <c r="D360" s="25"/>
      <c r="E360" s="20" t="s">
        <v>299</v>
      </c>
      <c r="F360" s="26" t="s">
        <v>103</v>
      </c>
      <c r="G360" s="27">
        <v>5000000</v>
      </c>
      <c r="H360" s="27">
        <v>6989000</v>
      </c>
      <c r="I360" s="28">
        <f t="shared" si="151"/>
        <v>-1989000</v>
      </c>
      <c r="J360" s="120"/>
    </row>
    <row r="361" spans="1:10" s="30" customFormat="1" ht="17.25" customHeight="1">
      <c r="A361" s="15"/>
      <c r="B361" s="176" t="s">
        <v>298</v>
      </c>
      <c r="C361" s="177"/>
      <c r="D361" s="177"/>
      <c r="E361" s="178"/>
      <c r="F361" s="16"/>
      <c r="G361" s="17">
        <f>G362+G368</f>
        <v>34768200</v>
      </c>
      <c r="H361" s="17">
        <f t="shared" ref="H361:I361" si="153">H362+H368</f>
        <v>40048000</v>
      </c>
      <c r="I361" s="17">
        <f t="shared" si="153"/>
        <v>-5279800</v>
      </c>
      <c r="J361" s="118"/>
    </row>
    <row r="362" spans="1:10" s="30" customFormat="1" ht="17.25" customHeight="1">
      <c r="A362" s="15"/>
      <c r="B362" s="32"/>
      <c r="C362" s="161" t="s">
        <v>531</v>
      </c>
      <c r="D362" s="162"/>
      <c r="E362" s="183"/>
      <c r="F362" s="43"/>
      <c r="G362" s="22">
        <f>G363+G366</f>
        <v>13500000</v>
      </c>
      <c r="H362" s="22">
        <f t="shared" ref="H362:I362" si="154">H363+H366</f>
        <v>17500000</v>
      </c>
      <c r="I362" s="22">
        <f t="shared" si="154"/>
        <v>-4000000</v>
      </c>
      <c r="J362" s="119"/>
    </row>
    <row r="363" spans="1:10" s="30" customFormat="1" ht="17.25" customHeight="1">
      <c r="A363" s="15"/>
      <c r="B363" s="32"/>
      <c r="C363" s="24"/>
      <c r="D363" s="179" t="s">
        <v>584</v>
      </c>
      <c r="E363" s="180"/>
      <c r="F363" s="26"/>
      <c r="G363" s="27">
        <f>SUM(G364:G365)</f>
        <v>12000000</v>
      </c>
      <c r="H363" s="27">
        <f t="shared" ref="H363:I363" si="155">SUM(H364:H365)</f>
        <v>16400000</v>
      </c>
      <c r="I363" s="27">
        <f t="shared" si="155"/>
        <v>-4400000</v>
      </c>
      <c r="J363" s="120"/>
    </row>
    <row r="364" spans="1:10" s="30" customFormat="1" ht="17.25" customHeight="1">
      <c r="A364" s="15"/>
      <c r="B364" s="32"/>
      <c r="C364" s="24"/>
      <c r="D364" s="24"/>
      <c r="E364" s="33" t="s">
        <v>297</v>
      </c>
      <c r="F364" s="26" t="s">
        <v>296</v>
      </c>
      <c r="G364" s="27">
        <v>12000000</v>
      </c>
      <c r="H364" s="27">
        <v>15800000</v>
      </c>
      <c r="I364" s="28">
        <f t="shared" si="151"/>
        <v>-3800000</v>
      </c>
      <c r="J364" s="120"/>
    </row>
    <row r="365" spans="1:10" s="30" customFormat="1" ht="17.25" customHeight="1">
      <c r="A365" s="15"/>
      <c r="B365" s="32"/>
      <c r="C365" s="24"/>
      <c r="D365" s="24"/>
      <c r="E365" s="20" t="s">
        <v>585</v>
      </c>
      <c r="F365" s="26" t="s">
        <v>293</v>
      </c>
      <c r="G365" s="27">
        <v>0</v>
      </c>
      <c r="H365" s="27">
        <v>600000</v>
      </c>
      <c r="I365" s="28">
        <f t="shared" si="151"/>
        <v>-600000</v>
      </c>
      <c r="J365" s="120"/>
    </row>
    <row r="366" spans="1:10" s="30" customFormat="1" ht="17.25" customHeight="1">
      <c r="A366" s="15"/>
      <c r="B366" s="32"/>
      <c r="C366" s="24"/>
      <c r="D366" s="179" t="s">
        <v>407</v>
      </c>
      <c r="E366" s="180"/>
      <c r="F366" s="26"/>
      <c r="G366" s="27">
        <f>SUM(G367)</f>
        <v>1500000</v>
      </c>
      <c r="H366" s="27">
        <f t="shared" ref="H366:I366" si="156">SUM(H367)</f>
        <v>1100000</v>
      </c>
      <c r="I366" s="27">
        <f t="shared" si="156"/>
        <v>400000</v>
      </c>
      <c r="J366" s="120"/>
    </row>
    <row r="367" spans="1:10" s="30" customFormat="1" ht="17.25" customHeight="1">
      <c r="A367" s="15"/>
      <c r="B367" s="32"/>
      <c r="C367" s="24"/>
      <c r="D367" s="24"/>
      <c r="E367" s="35" t="s">
        <v>295</v>
      </c>
      <c r="F367" s="26" t="s">
        <v>294</v>
      </c>
      <c r="G367" s="27">
        <v>1500000</v>
      </c>
      <c r="H367" s="27">
        <f>600000+500000</f>
        <v>1100000</v>
      </c>
      <c r="I367" s="28">
        <f t="shared" si="151"/>
        <v>400000</v>
      </c>
      <c r="J367" s="120"/>
    </row>
    <row r="368" spans="1:10" s="30" customFormat="1" ht="17.25" customHeight="1">
      <c r="A368" s="15"/>
      <c r="B368" s="32"/>
      <c r="C368" s="161" t="s">
        <v>532</v>
      </c>
      <c r="D368" s="162"/>
      <c r="E368" s="183"/>
      <c r="F368" s="43"/>
      <c r="G368" s="22">
        <f>G369+G376</f>
        <v>21268200</v>
      </c>
      <c r="H368" s="22">
        <f t="shared" ref="H368:I368" si="157">H369+H376</f>
        <v>22548000</v>
      </c>
      <c r="I368" s="22">
        <f t="shared" si="157"/>
        <v>-1279800</v>
      </c>
      <c r="J368" s="119"/>
    </row>
    <row r="369" spans="1:10" s="30" customFormat="1" ht="17.25" customHeight="1">
      <c r="A369" s="15"/>
      <c r="B369" s="32"/>
      <c r="C369" s="24"/>
      <c r="D369" s="179" t="s">
        <v>422</v>
      </c>
      <c r="E369" s="180"/>
      <c r="F369" s="26"/>
      <c r="G369" s="27">
        <f>SUM(G370:G375)</f>
        <v>20768200</v>
      </c>
      <c r="H369" s="27">
        <f t="shared" ref="H369:I369" si="158">SUM(H370:H375)</f>
        <v>21548000</v>
      </c>
      <c r="I369" s="27">
        <f t="shared" si="158"/>
        <v>-779800</v>
      </c>
      <c r="J369" s="120"/>
    </row>
    <row r="370" spans="1:10" s="30" customFormat="1" ht="17.25" customHeight="1">
      <c r="A370" s="15"/>
      <c r="B370" s="32"/>
      <c r="C370" s="24"/>
      <c r="D370" s="24"/>
      <c r="E370" s="33" t="s">
        <v>292</v>
      </c>
      <c r="F370" s="26" t="s">
        <v>104</v>
      </c>
      <c r="G370" s="27">
        <v>19200000</v>
      </c>
      <c r="H370" s="27">
        <v>19200000</v>
      </c>
      <c r="I370" s="28">
        <f t="shared" si="151"/>
        <v>0</v>
      </c>
      <c r="J370" s="120"/>
    </row>
    <row r="371" spans="1:10" s="30" customFormat="1" ht="17.25" customHeight="1">
      <c r="A371" s="15"/>
      <c r="B371" s="32"/>
      <c r="C371" s="24"/>
      <c r="D371" s="24"/>
      <c r="E371" s="35" t="s">
        <v>291</v>
      </c>
      <c r="F371" s="26" t="s">
        <v>29</v>
      </c>
      <c r="G371" s="27">
        <f>ROUNDDOWN(G370*4.5/100,-1)</f>
        <v>864000</v>
      </c>
      <c r="H371" s="27">
        <v>864000</v>
      </c>
      <c r="I371" s="28">
        <f t="shared" si="151"/>
        <v>0</v>
      </c>
      <c r="J371" s="120"/>
    </row>
    <row r="372" spans="1:10" s="30" customFormat="1" ht="17.25" customHeight="1">
      <c r="A372" s="15"/>
      <c r="B372" s="32"/>
      <c r="C372" s="24"/>
      <c r="D372" s="24"/>
      <c r="E372" s="35" t="s">
        <v>30</v>
      </c>
      <c r="F372" s="26" t="s">
        <v>31</v>
      </c>
      <c r="G372" s="27">
        <v>325000</v>
      </c>
      <c r="H372" s="27">
        <v>998000</v>
      </c>
      <c r="I372" s="28">
        <f t="shared" si="151"/>
        <v>-673000</v>
      </c>
      <c r="J372" s="120"/>
    </row>
    <row r="373" spans="1:10" s="30" customFormat="1" ht="17.25" customHeight="1">
      <c r="A373" s="15"/>
      <c r="B373" s="32"/>
      <c r="C373" s="24"/>
      <c r="D373" s="24"/>
      <c r="E373" s="35" t="s">
        <v>32</v>
      </c>
      <c r="F373" s="26" t="s">
        <v>33</v>
      </c>
      <c r="G373" s="27">
        <f>ROUNDDOWN(G370*5.6/1000,-1)+80</f>
        <v>107600</v>
      </c>
      <c r="H373" s="27">
        <v>172000</v>
      </c>
      <c r="I373" s="28">
        <f t="shared" si="151"/>
        <v>-64400</v>
      </c>
      <c r="J373" s="120"/>
    </row>
    <row r="374" spans="1:10" s="30" customFormat="1" ht="17.25" customHeight="1">
      <c r="A374" s="15"/>
      <c r="B374" s="32"/>
      <c r="C374" s="24"/>
      <c r="D374" s="24"/>
      <c r="E374" s="20" t="s">
        <v>289</v>
      </c>
      <c r="F374" s="26" t="s">
        <v>34</v>
      </c>
      <c r="G374" s="27">
        <f>ROUNDDOWN(G370*13/1000,-1)</f>
        <v>249600</v>
      </c>
      <c r="H374" s="27">
        <v>249000</v>
      </c>
      <c r="I374" s="28">
        <f t="shared" si="151"/>
        <v>600</v>
      </c>
      <c r="J374" s="120"/>
    </row>
    <row r="375" spans="1:10" s="30" customFormat="1" ht="17.25" customHeight="1">
      <c r="A375" s="15"/>
      <c r="B375" s="32"/>
      <c r="C375" s="24"/>
      <c r="D375" s="24"/>
      <c r="E375" s="35" t="s">
        <v>30</v>
      </c>
      <c r="F375" s="26" t="s">
        <v>290</v>
      </c>
      <c r="G375" s="27">
        <v>22000</v>
      </c>
      <c r="H375" s="27">
        <v>65000</v>
      </c>
      <c r="I375" s="28">
        <f t="shared" si="151"/>
        <v>-43000</v>
      </c>
      <c r="J375" s="120"/>
    </row>
    <row r="376" spans="1:10" s="30" customFormat="1" ht="17.25" customHeight="1">
      <c r="A376" s="15"/>
      <c r="B376" s="32"/>
      <c r="C376" s="24"/>
      <c r="D376" s="179" t="s">
        <v>389</v>
      </c>
      <c r="E376" s="180"/>
      <c r="F376" s="26"/>
      <c r="G376" s="27">
        <f>SUM(G377)</f>
        <v>500000</v>
      </c>
      <c r="H376" s="27">
        <f t="shared" ref="H376:I376" si="159">SUM(H377)</f>
        <v>1000000</v>
      </c>
      <c r="I376" s="27">
        <f t="shared" si="159"/>
        <v>-500000</v>
      </c>
      <c r="J376" s="120"/>
    </row>
    <row r="377" spans="1:10" s="30" customFormat="1" ht="17.25" customHeight="1">
      <c r="A377" s="15"/>
      <c r="B377" s="32"/>
      <c r="C377" s="24"/>
      <c r="D377" s="24"/>
      <c r="E377" s="20" t="s">
        <v>288</v>
      </c>
      <c r="F377" s="26" t="s">
        <v>622</v>
      </c>
      <c r="G377" s="27">
        <v>500000</v>
      </c>
      <c r="H377" s="27">
        <v>1000000</v>
      </c>
      <c r="I377" s="28">
        <f t="shared" si="151"/>
        <v>-500000</v>
      </c>
      <c r="J377" s="120"/>
    </row>
    <row r="378" spans="1:10" s="30" customFormat="1" ht="17.25" customHeight="1">
      <c r="A378" s="15"/>
      <c r="B378" s="176" t="s">
        <v>36</v>
      </c>
      <c r="C378" s="177"/>
      <c r="D378" s="177"/>
      <c r="E378" s="178"/>
      <c r="F378" s="16"/>
      <c r="G378" s="17">
        <f>G379</f>
        <v>210000000</v>
      </c>
      <c r="H378" s="17">
        <f t="shared" ref="H378:I378" si="160">H379</f>
        <v>35640000</v>
      </c>
      <c r="I378" s="17">
        <f t="shared" si="160"/>
        <v>174360000</v>
      </c>
      <c r="J378" s="118"/>
    </row>
    <row r="379" spans="1:10" s="30" customFormat="1" ht="17.25" customHeight="1">
      <c r="A379" s="15"/>
      <c r="B379" s="32"/>
      <c r="C379" s="161" t="s">
        <v>533</v>
      </c>
      <c r="D379" s="162"/>
      <c r="E379" s="183"/>
      <c r="F379" s="43"/>
      <c r="G379" s="22">
        <f>G380</f>
        <v>210000000</v>
      </c>
      <c r="H379" s="22">
        <f t="shared" ref="H379:I379" si="161">H380</f>
        <v>35640000</v>
      </c>
      <c r="I379" s="22">
        <f t="shared" si="161"/>
        <v>174360000</v>
      </c>
      <c r="J379" s="119"/>
    </row>
    <row r="380" spans="1:10" s="30" customFormat="1" ht="17.25" customHeight="1">
      <c r="A380" s="15"/>
      <c r="B380" s="32"/>
      <c r="C380" s="25"/>
      <c r="D380" s="182" t="s">
        <v>584</v>
      </c>
      <c r="E380" s="182"/>
      <c r="F380" s="26"/>
      <c r="G380" s="27">
        <f>SUM(G381:G382)</f>
        <v>210000000</v>
      </c>
      <c r="H380" s="27">
        <f t="shared" ref="H380:I380" si="162">SUM(H381:H382)</f>
        <v>35640000</v>
      </c>
      <c r="I380" s="27">
        <f t="shared" si="162"/>
        <v>174360000</v>
      </c>
      <c r="J380" s="120"/>
    </row>
    <row r="381" spans="1:10" s="30" customFormat="1" ht="17.25" customHeight="1">
      <c r="A381" s="19"/>
      <c r="B381" s="31"/>
      <c r="C381" s="31"/>
      <c r="D381" s="20"/>
      <c r="E381" s="25" t="s">
        <v>585</v>
      </c>
      <c r="F381" s="26" t="s">
        <v>287</v>
      </c>
      <c r="G381" s="27">
        <v>200000000</v>
      </c>
      <c r="H381" s="27">
        <v>23240000</v>
      </c>
      <c r="I381" s="28">
        <f t="shared" si="151"/>
        <v>176760000</v>
      </c>
      <c r="J381" s="120"/>
    </row>
    <row r="382" spans="1:10" s="30" customFormat="1" ht="17.25" customHeight="1">
      <c r="A382" s="19"/>
      <c r="B382" s="31"/>
      <c r="C382" s="31"/>
      <c r="D382" s="33"/>
      <c r="E382" s="26" t="s">
        <v>244</v>
      </c>
      <c r="F382" s="26" t="s">
        <v>623</v>
      </c>
      <c r="G382" s="27">
        <v>10000000</v>
      </c>
      <c r="H382" s="27">
        <v>12400000</v>
      </c>
      <c r="I382" s="28">
        <f t="shared" si="151"/>
        <v>-2400000</v>
      </c>
      <c r="J382" s="120"/>
    </row>
    <row r="383" spans="1:10" s="30" customFormat="1" ht="17.25" customHeight="1">
      <c r="A383" s="187" t="s">
        <v>37</v>
      </c>
      <c r="B383" s="188"/>
      <c r="C383" s="188"/>
      <c r="D383" s="188"/>
      <c r="E383" s="189"/>
      <c r="F383" s="56"/>
      <c r="G383" s="57">
        <f>G384+G401+G426</f>
        <v>763541200</v>
      </c>
      <c r="H383" s="57">
        <f t="shared" ref="H383:I383" si="163">H384+H401+H426</f>
        <v>850489000</v>
      </c>
      <c r="I383" s="57">
        <f t="shared" si="163"/>
        <v>-86947800</v>
      </c>
      <c r="J383" s="124"/>
    </row>
    <row r="384" spans="1:10" s="30" customFormat="1" ht="17.25" customHeight="1">
      <c r="A384" s="15"/>
      <c r="B384" s="176" t="s">
        <v>38</v>
      </c>
      <c r="C384" s="177"/>
      <c r="D384" s="177"/>
      <c r="E384" s="178"/>
      <c r="F384" s="16"/>
      <c r="G384" s="17">
        <f>G385</f>
        <v>50372000</v>
      </c>
      <c r="H384" s="17">
        <f t="shared" ref="H384:I384" si="164">H385</f>
        <v>53977000</v>
      </c>
      <c r="I384" s="17">
        <f t="shared" si="164"/>
        <v>-3605000</v>
      </c>
      <c r="J384" s="118"/>
    </row>
    <row r="385" spans="1:10" s="30" customFormat="1" ht="17.25" customHeight="1">
      <c r="A385" s="15"/>
      <c r="B385" s="32"/>
      <c r="C385" s="161" t="s">
        <v>534</v>
      </c>
      <c r="D385" s="162"/>
      <c r="E385" s="183"/>
      <c r="F385" s="43"/>
      <c r="G385" s="22">
        <f>G386+G392+G394+G397+G399</f>
        <v>50372000</v>
      </c>
      <c r="H385" s="22">
        <f t="shared" ref="H385:I385" si="165">H386+H392+H394+H397+H399</f>
        <v>53977000</v>
      </c>
      <c r="I385" s="22">
        <f t="shared" si="165"/>
        <v>-3605000</v>
      </c>
      <c r="J385" s="119"/>
    </row>
    <row r="386" spans="1:10" s="30" customFormat="1" ht="17.25" customHeight="1">
      <c r="A386" s="15"/>
      <c r="B386" s="32"/>
      <c r="C386" s="24"/>
      <c r="D386" s="179" t="s">
        <v>407</v>
      </c>
      <c r="E386" s="180"/>
      <c r="F386" s="26"/>
      <c r="G386" s="27">
        <f>SUM(G387:G391)</f>
        <v>18320000</v>
      </c>
      <c r="H386" s="27">
        <f t="shared" ref="H386:I386" si="166">SUM(H387:H391)</f>
        <v>20405000</v>
      </c>
      <c r="I386" s="27">
        <f t="shared" si="166"/>
        <v>-2085000</v>
      </c>
      <c r="J386" s="120"/>
    </row>
    <row r="387" spans="1:10" s="30" customFormat="1" ht="17.25" customHeight="1">
      <c r="A387" s="15"/>
      <c r="B387" s="32"/>
      <c r="C387" s="24"/>
      <c r="D387" s="24"/>
      <c r="E387" s="33" t="s">
        <v>259</v>
      </c>
      <c r="F387" s="26" t="s">
        <v>625</v>
      </c>
      <c r="G387" s="27">
        <v>7000000</v>
      </c>
      <c r="H387" s="27">
        <v>9085000</v>
      </c>
      <c r="I387" s="28">
        <f t="shared" si="151"/>
        <v>-2085000</v>
      </c>
      <c r="J387" s="120"/>
    </row>
    <row r="388" spans="1:10" s="30" customFormat="1" ht="17.25" customHeight="1">
      <c r="A388" s="15"/>
      <c r="B388" s="32"/>
      <c r="C388" s="24"/>
      <c r="D388" s="31"/>
      <c r="E388" s="20" t="s">
        <v>253</v>
      </c>
      <c r="F388" s="26" t="s">
        <v>284</v>
      </c>
      <c r="G388" s="27">
        <v>6000000</v>
      </c>
      <c r="H388" s="27">
        <v>6000000</v>
      </c>
      <c r="I388" s="28">
        <f t="shared" si="151"/>
        <v>0</v>
      </c>
      <c r="J388" s="120" t="s">
        <v>284</v>
      </c>
    </row>
    <row r="389" spans="1:10" s="30" customFormat="1" ht="17.25" customHeight="1">
      <c r="A389" s="15"/>
      <c r="B389" s="32"/>
      <c r="C389" s="24"/>
      <c r="D389" s="31"/>
      <c r="E389" s="35" t="s">
        <v>41</v>
      </c>
      <c r="F389" s="26" t="s">
        <v>42</v>
      </c>
      <c r="G389" s="27">
        <v>3000000</v>
      </c>
      <c r="H389" s="27">
        <v>3000000</v>
      </c>
      <c r="I389" s="28">
        <f t="shared" si="151"/>
        <v>0</v>
      </c>
      <c r="J389" s="120"/>
    </row>
    <row r="390" spans="1:10" s="30" customFormat="1" ht="17.25" customHeight="1">
      <c r="A390" s="15"/>
      <c r="B390" s="32"/>
      <c r="C390" s="31"/>
      <c r="D390" s="32"/>
      <c r="E390" s="26" t="s">
        <v>280</v>
      </c>
      <c r="F390" s="26" t="s">
        <v>15</v>
      </c>
      <c r="G390" s="27">
        <v>1000000</v>
      </c>
      <c r="H390" s="27">
        <v>1000000</v>
      </c>
      <c r="I390" s="28">
        <f t="shared" si="151"/>
        <v>0</v>
      </c>
      <c r="J390" s="120"/>
    </row>
    <row r="391" spans="1:10" s="30" customFormat="1" ht="17.25" customHeight="1">
      <c r="A391" s="15"/>
      <c r="B391" s="32"/>
      <c r="C391" s="31"/>
      <c r="D391" s="24"/>
      <c r="E391" s="25" t="s">
        <v>45</v>
      </c>
      <c r="F391" s="26" t="s">
        <v>46</v>
      </c>
      <c r="G391" s="27">
        <v>1320000</v>
      </c>
      <c r="H391" s="27">
        <v>1320000</v>
      </c>
      <c r="I391" s="28">
        <f t="shared" si="151"/>
        <v>0</v>
      </c>
      <c r="J391" s="120"/>
    </row>
    <row r="392" spans="1:10" s="30" customFormat="1" ht="17.25" customHeight="1">
      <c r="A392" s="15"/>
      <c r="B392" s="32"/>
      <c r="C392" s="24"/>
      <c r="D392" s="179" t="s">
        <v>624</v>
      </c>
      <c r="E392" s="180"/>
      <c r="F392" s="26"/>
      <c r="G392" s="27">
        <f>SUM(G393)</f>
        <v>3648000</v>
      </c>
      <c r="H392" s="27">
        <f t="shared" ref="H392:I392" si="167">SUM(H393)</f>
        <v>5168000</v>
      </c>
      <c r="I392" s="27">
        <f t="shared" si="167"/>
        <v>-1520000</v>
      </c>
      <c r="J392" s="120"/>
    </row>
    <row r="393" spans="1:10" s="30" customFormat="1" ht="17.25" customHeight="1">
      <c r="A393" s="15"/>
      <c r="B393" s="32"/>
      <c r="C393" s="24"/>
      <c r="D393" s="31"/>
      <c r="E393" s="20" t="s">
        <v>624</v>
      </c>
      <c r="F393" s="26" t="s">
        <v>286</v>
      </c>
      <c r="G393" s="27">
        <v>3648000</v>
      </c>
      <c r="H393" s="27">
        <f>3648000+1520000</f>
        <v>5168000</v>
      </c>
      <c r="I393" s="28">
        <f t="shared" ref="I393:I412" si="168">G393-H393</f>
        <v>-1520000</v>
      </c>
      <c r="J393" s="120" t="s">
        <v>285</v>
      </c>
    </row>
    <row r="394" spans="1:10" s="30" customFormat="1" ht="17.25" customHeight="1">
      <c r="A394" s="15"/>
      <c r="B394" s="32"/>
      <c r="C394" s="24"/>
      <c r="D394" s="179" t="s">
        <v>563</v>
      </c>
      <c r="E394" s="180"/>
      <c r="F394" s="26"/>
      <c r="G394" s="27">
        <f>SUM(G395:G396)</f>
        <v>21300000</v>
      </c>
      <c r="H394" s="27">
        <f t="shared" ref="H394:I394" si="169">SUM(H395:H396)</f>
        <v>21300000</v>
      </c>
      <c r="I394" s="27">
        <f t="shared" si="169"/>
        <v>0</v>
      </c>
      <c r="J394" s="120"/>
    </row>
    <row r="395" spans="1:10" s="30" customFormat="1" ht="17.25" customHeight="1">
      <c r="A395" s="15"/>
      <c r="B395" s="32"/>
      <c r="C395" s="24"/>
      <c r="D395" s="25"/>
      <c r="E395" s="20" t="s">
        <v>281</v>
      </c>
      <c r="F395" s="26" t="s">
        <v>39</v>
      </c>
      <c r="G395" s="27">
        <v>20000000</v>
      </c>
      <c r="H395" s="27">
        <v>20000000</v>
      </c>
      <c r="I395" s="28">
        <f t="shared" si="168"/>
        <v>0</v>
      </c>
      <c r="J395" s="120"/>
    </row>
    <row r="396" spans="1:10" s="30" customFormat="1" ht="17.25" customHeight="1">
      <c r="A396" s="15"/>
      <c r="B396" s="32"/>
      <c r="C396" s="24"/>
      <c r="D396" s="31"/>
      <c r="E396" s="59" t="s">
        <v>363</v>
      </c>
      <c r="F396" s="26" t="s">
        <v>627</v>
      </c>
      <c r="G396" s="27">
        <v>1300000</v>
      </c>
      <c r="H396" s="27">
        <f>600000+700000</f>
        <v>1300000</v>
      </c>
      <c r="I396" s="28">
        <f t="shared" si="168"/>
        <v>0</v>
      </c>
      <c r="J396" s="120"/>
    </row>
    <row r="397" spans="1:10" s="30" customFormat="1" ht="17.25" customHeight="1">
      <c r="A397" s="15"/>
      <c r="B397" s="32"/>
      <c r="C397" s="24"/>
      <c r="D397" s="179" t="s">
        <v>571</v>
      </c>
      <c r="E397" s="180"/>
      <c r="F397" s="26"/>
      <c r="G397" s="27">
        <f>SUM(G398)</f>
        <v>6864000</v>
      </c>
      <c r="H397" s="27">
        <f t="shared" ref="H397:I397" si="170">SUM(H398)</f>
        <v>6864000</v>
      </c>
      <c r="I397" s="27">
        <f t="shared" si="170"/>
        <v>0</v>
      </c>
      <c r="J397" s="120"/>
    </row>
    <row r="398" spans="1:10" s="30" customFormat="1" ht="17.25" customHeight="1">
      <c r="A398" s="15"/>
      <c r="B398" s="32"/>
      <c r="C398" s="24"/>
      <c r="D398" s="42"/>
      <c r="E398" s="59" t="s">
        <v>40</v>
      </c>
      <c r="F398" s="26" t="s">
        <v>283</v>
      </c>
      <c r="G398" s="27">
        <v>6864000</v>
      </c>
      <c r="H398" s="27">
        <v>6864000</v>
      </c>
      <c r="I398" s="28">
        <f t="shared" si="168"/>
        <v>0</v>
      </c>
      <c r="J398" s="120" t="s">
        <v>282</v>
      </c>
    </row>
    <row r="399" spans="1:10" s="30" customFormat="1" ht="17.25" customHeight="1">
      <c r="A399" s="15"/>
      <c r="B399" s="32"/>
      <c r="C399" s="24"/>
      <c r="D399" s="179" t="s">
        <v>626</v>
      </c>
      <c r="E399" s="180"/>
      <c r="F399" s="26"/>
      <c r="G399" s="27">
        <f>SUM(G400)</f>
        <v>240000</v>
      </c>
      <c r="H399" s="27">
        <f t="shared" ref="H399:I399" si="171">SUM(H400)</f>
        <v>240000</v>
      </c>
      <c r="I399" s="27">
        <f t="shared" si="171"/>
        <v>0</v>
      </c>
      <c r="J399" s="120"/>
    </row>
    <row r="400" spans="1:10" s="30" customFormat="1" ht="17.25" customHeight="1">
      <c r="A400" s="15"/>
      <c r="B400" s="32"/>
      <c r="C400" s="24"/>
      <c r="D400" s="24"/>
      <c r="E400" s="35" t="s">
        <v>43</v>
      </c>
      <c r="F400" s="26" t="s">
        <v>44</v>
      </c>
      <c r="G400" s="27">
        <v>240000</v>
      </c>
      <c r="H400" s="27">
        <v>240000</v>
      </c>
      <c r="I400" s="28">
        <f t="shared" si="168"/>
        <v>0</v>
      </c>
      <c r="J400" s="120"/>
    </row>
    <row r="401" spans="1:10" s="30" customFormat="1" ht="17.25" customHeight="1">
      <c r="A401" s="15"/>
      <c r="B401" s="176" t="s">
        <v>279</v>
      </c>
      <c r="C401" s="177"/>
      <c r="D401" s="177"/>
      <c r="E401" s="178"/>
      <c r="F401" s="16"/>
      <c r="G401" s="17">
        <f>G402</f>
        <v>667369200</v>
      </c>
      <c r="H401" s="17">
        <f t="shared" ref="H401:I401" si="172">H402</f>
        <v>709540000</v>
      </c>
      <c r="I401" s="17">
        <f t="shared" si="172"/>
        <v>-42170800</v>
      </c>
      <c r="J401" s="118"/>
    </row>
    <row r="402" spans="1:10" s="30" customFormat="1" ht="17.25" customHeight="1">
      <c r="A402" s="15"/>
      <c r="B402" s="32"/>
      <c r="C402" s="161" t="s">
        <v>535</v>
      </c>
      <c r="D402" s="162"/>
      <c r="E402" s="183"/>
      <c r="F402" s="43"/>
      <c r="G402" s="22">
        <f>G403+G413+G417+G424</f>
        <v>667369200</v>
      </c>
      <c r="H402" s="22">
        <f t="shared" ref="H402:I402" si="173">H403+H413+H417+H424</f>
        <v>709540000</v>
      </c>
      <c r="I402" s="22">
        <f t="shared" si="173"/>
        <v>-42170800</v>
      </c>
      <c r="J402" s="119"/>
    </row>
    <row r="403" spans="1:10" s="30" customFormat="1" ht="17.25" customHeight="1">
      <c r="A403" s="15"/>
      <c r="B403" s="32"/>
      <c r="C403" s="24"/>
      <c r="D403" s="179" t="s">
        <v>626</v>
      </c>
      <c r="E403" s="175"/>
      <c r="F403" s="26"/>
      <c r="G403" s="27">
        <f>SUM(G404:G412)</f>
        <v>361500000</v>
      </c>
      <c r="H403" s="27">
        <f t="shared" ref="H403:I403" si="174">SUM(H404:H412)</f>
        <v>359500000</v>
      </c>
      <c r="I403" s="27">
        <f t="shared" si="174"/>
        <v>2000000</v>
      </c>
      <c r="J403" s="120"/>
    </row>
    <row r="404" spans="1:10" s="30" customFormat="1" ht="17.25" customHeight="1">
      <c r="A404" s="15"/>
      <c r="B404" s="32"/>
      <c r="C404" s="24"/>
      <c r="D404" s="20"/>
      <c r="E404" s="33" t="s">
        <v>52</v>
      </c>
      <c r="F404" s="26" t="s">
        <v>52</v>
      </c>
      <c r="G404" s="27">
        <v>5000000</v>
      </c>
      <c r="H404" s="27">
        <v>5000000</v>
      </c>
      <c r="I404" s="28">
        <f t="shared" si="168"/>
        <v>0</v>
      </c>
      <c r="J404" s="120"/>
    </row>
    <row r="405" spans="1:10" s="30" customFormat="1" ht="17.25" customHeight="1">
      <c r="A405" s="15"/>
      <c r="B405" s="32"/>
      <c r="C405" s="24"/>
      <c r="D405" s="31"/>
      <c r="E405" s="35" t="s">
        <v>272</v>
      </c>
      <c r="F405" s="26" t="s">
        <v>272</v>
      </c>
      <c r="G405" s="27">
        <v>14000000</v>
      </c>
      <c r="H405" s="27">
        <v>14000000</v>
      </c>
      <c r="I405" s="28">
        <f t="shared" si="168"/>
        <v>0</v>
      </c>
      <c r="J405" s="120"/>
    </row>
    <row r="406" spans="1:10" s="30" customFormat="1" ht="17.25" customHeight="1">
      <c r="A406" s="15"/>
      <c r="B406" s="32"/>
      <c r="C406" s="24"/>
      <c r="D406" s="31"/>
      <c r="E406" s="20" t="s">
        <v>271</v>
      </c>
      <c r="F406" s="26" t="s">
        <v>271</v>
      </c>
      <c r="G406" s="27">
        <v>12000000</v>
      </c>
      <c r="H406" s="27">
        <v>12000000</v>
      </c>
      <c r="I406" s="28">
        <f t="shared" si="168"/>
        <v>0</v>
      </c>
      <c r="J406" s="120"/>
    </row>
    <row r="407" spans="1:10" s="30" customFormat="1" ht="17.25" customHeight="1">
      <c r="A407" s="15"/>
      <c r="B407" s="32"/>
      <c r="C407" s="24"/>
      <c r="D407" s="31"/>
      <c r="E407" s="20" t="s">
        <v>278</v>
      </c>
      <c r="F407" s="26" t="s">
        <v>278</v>
      </c>
      <c r="G407" s="27">
        <v>110000000</v>
      </c>
      <c r="H407" s="27">
        <f>80000000+30000000</f>
        <v>110000000</v>
      </c>
      <c r="I407" s="28">
        <f t="shared" si="168"/>
        <v>0</v>
      </c>
      <c r="J407" s="120"/>
    </row>
    <row r="408" spans="1:10" s="30" customFormat="1" ht="17.25" customHeight="1">
      <c r="A408" s="15"/>
      <c r="B408" s="32"/>
      <c r="C408" s="24"/>
      <c r="D408" s="31"/>
      <c r="E408" s="20" t="s">
        <v>277</v>
      </c>
      <c r="F408" s="26" t="s">
        <v>75</v>
      </c>
      <c r="G408" s="27">
        <v>50000000</v>
      </c>
      <c r="H408" s="27">
        <f>25000000+25000000</f>
        <v>50000000</v>
      </c>
      <c r="I408" s="28">
        <f t="shared" si="168"/>
        <v>0</v>
      </c>
      <c r="J408" s="120"/>
    </row>
    <row r="409" spans="1:10" s="30" customFormat="1" ht="17.25" customHeight="1">
      <c r="A409" s="15"/>
      <c r="B409" s="32"/>
      <c r="C409" s="24"/>
      <c r="D409" s="31"/>
      <c r="E409" s="20" t="s">
        <v>276</v>
      </c>
      <c r="F409" s="26" t="s">
        <v>275</v>
      </c>
      <c r="G409" s="27">
        <v>160000000</v>
      </c>
      <c r="H409" s="27">
        <f>120000000+40000000</f>
        <v>160000000</v>
      </c>
      <c r="I409" s="28">
        <f t="shared" si="168"/>
        <v>0</v>
      </c>
      <c r="J409" s="120"/>
    </row>
    <row r="410" spans="1:10" s="30" customFormat="1" ht="17.25" customHeight="1">
      <c r="A410" s="15"/>
      <c r="B410" s="32"/>
      <c r="C410" s="24"/>
      <c r="D410" s="31"/>
      <c r="E410" s="35" t="s">
        <v>264</v>
      </c>
      <c r="F410" s="26" t="s">
        <v>263</v>
      </c>
      <c r="G410" s="27">
        <v>4200000</v>
      </c>
      <c r="H410" s="27">
        <v>4200000</v>
      </c>
      <c r="I410" s="28">
        <f t="shared" si="168"/>
        <v>0</v>
      </c>
      <c r="J410" s="120"/>
    </row>
    <row r="411" spans="1:10" s="30" customFormat="1" ht="17.25" customHeight="1">
      <c r="A411" s="15"/>
      <c r="B411" s="32"/>
      <c r="C411" s="24"/>
      <c r="D411" s="24"/>
      <c r="E411" s="35" t="s">
        <v>43</v>
      </c>
      <c r="F411" s="26" t="s">
        <v>270</v>
      </c>
      <c r="G411" s="27">
        <v>4300000</v>
      </c>
      <c r="H411" s="27">
        <v>4300000</v>
      </c>
      <c r="I411" s="28">
        <f t="shared" si="168"/>
        <v>0</v>
      </c>
      <c r="J411" s="120"/>
    </row>
    <row r="412" spans="1:10" s="30" customFormat="1" ht="17.25" customHeight="1">
      <c r="A412" s="15"/>
      <c r="B412" s="32"/>
      <c r="C412" s="141"/>
      <c r="D412" s="142"/>
      <c r="E412" s="71" t="s">
        <v>628</v>
      </c>
      <c r="F412" s="26" t="s">
        <v>640</v>
      </c>
      <c r="G412" s="27">
        <v>2000000</v>
      </c>
      <c r="H412" s="27">
        <v>0</v>
      </c>
      <c r="I412" s="28">
        <f t="shared" si="168"/>
        <v>2000000</v>
      </c>
      <c r="J412" s="120"/>
    </row>
    <row r="413" spans="1:10" s="30" customFormat="1" ht="17.25" customHeight="1">
      <c r="A413" s="15"/>
      <c r="B413" s="32"/>
      <c r="C413" s="24"/>
      <c r="D413" s="181" t="s">
        <v>401</v>
      </c>
      <c r="E413" s="182"/>
      <c r="F413" s="26"/>
      <c r="G413" s="27">
        <f>SUM(G414:G416)</f>
        <v>42749200</v>
      </c>
      <c r="H413" s="27">
        <f t="shared" ref="H413:I413" si="175">SUM(H414:H416)</f>
        <v>77000000</v>
      </c>
      <c r="I413" s="27">
        <f t="shared" si="175"/>
        <v>-34250800</v>
      </c>
      <c r="J413" s="120"/>
    </row>
    <row r="414" spans="1:10" s="30" customFormat="1" ht="17.25" customHeight="1">
      <c r="A414" s="15"/>
      <c r="B414" s="32"/>
      <c r="C414" s="24"/>
      <c r="D414" s="25"/>
      <c r="E414" s="20" t="s">
        <v>83</v>
      </c>
      <c r="F414" s="26" t="s">
        <v>262</v>
      </c>
      <c r="G414" s="27">
        <v>22749200</v>
      </c>
      <c r="H414" s="27">
        <v>60000000</v>
      </c>
      <c r="I414" s="28">
        <f>G414-H414</f>
        <v>-37250800</v>
      </c>
      <c r="J414" s="120" t="s">
        <v>261</v>
      </c>
    </row>
    <row r="415" spans="1:10" s="30" customFormat="1" ht="17.25" customHeight="1">
      <c r="A415" s="15"/>
      <c r="B415" s="32"/>
      <c r="C415" s="24"/>
      <c r="D415" s="31"/>
      <c r="E415" s="35" t="s">
        <v>81</v>
      </c>
      <c r="F415" s="26" t="s">
        <v>629</v>
      </c>
      <c r="G415" s="27">
        <v>10000000</v>
      </c>
      <c r="H415" s="27">
        <f>2000000+5000000</f>
        <v>7000000</v>
      </c>
      <c r="I415" s="28">
        <f t="shared" ref="I415:I416" si="176">G415-H415</f>
        <v>3000000</v>
      </c>
      <c r="J415" s="120"/>
    </row>
    <row r="416" spans="1:10" s="30" customFormat="1" ht="17.25" customHeight="1">
      <c r="A416" s="15"/>
      <c r="B416" s="32"/>
      <c r="C416" s="24"/>
      <c r="D416" s="42"/>
      <c r="E416" s="26" t="s">
        <v>274</v>
      </c>
      <c r="F416" s="26" t="s">
        <v>273</v>
      </c>
      <c r="G416" s="27">
        <v>10000000</v>
      </c>
      <c r="H416" s="27">
        <v>10000000</v>
      </c>
      <c r="I416" s="28">
        <f t="shared" si="176"/>
        <v>0</v>
      </c>
      <c r="J416" s="120"/>
    </row>
    <row r="417" spans="1:10" s="30" customFormat="1" ht="17.25" customHeight="1">
      <c r="A417" s="15"/>
      <c r="B417" s="32"/>
      <c r="C417" s="24"/>
      <c r="D417" s="181" t="s">
        <v>397</v>
      </c>
      <c r="E417" s="182"/>
      <c r="F417" s="26"/>
      <c r="G417" s="27">
        <f>SUM(G418:G423)</f>
        <v>263000000</v>
      </c>
      <c r="H417" s="27">
        <f t="shared" ref="H417:I417" si="177">SUM(H418:H423)</f>
        <v>272920000</v>
      </c>
      <c r="I417" s="27">
        <f t="shared" si="177"/>
        <v>-9920000</v>
      </c>
      <c r="J417" s="120"/>
    </row>
    <row r="418" spans="1:10" s="30" customFormat="1" ht="17.25" customHeight="1">
      <c r="A418" s="15"/>
      <c r="B418" s="32"/>
      <c r="C418" s="24"/>
      <c r="D418" s="25"/>
      <c r="E418" s="20" t="s">
        <v>573</v>
      </c>
      <c r="F418" s="26" t="s">
        <v>47</v>
      </c>
      <c r="G418" s="27">
        <v>24000000</v>
      </c>
      <c r="H418" s="27">
        <v>24000000</v>
      </c>
      <c r="I418" s="28">
        <f t="shared" ref="I418:I434" si="178">G418-H418</f>
        <v>0</v>
      </c>
      <c r="J418" s="120"/>
    </row>
    <row r="419" spans="1:10" s="30" customFormat="1" ht="17.25" customHeight="1">
      <c r="A419" s="15"/>
      <c r="B419" s="32"/>
      <c r="C419" s="24"/>
      <c r="D419" s="24"/>
      <c r="E419" s="35" t="s">
        <v>572</v>
      </c>
      <c r="F419" s="26" t="s">
        <v>50</v>
      </c>
      <c r="G419" s="27">
        <v>18000000</v>
      </c>
      <c r="H419" s="27">
        <v>18000000</v>
      </c>
      <c r="I419" s="28">
        <f t="shared" si="178"/>
        <v>0</v>
      </c>
      <c r="J419" s="120"/>
    </row>
    <row r="420" spans="1:10" s="30" customFormat="1" ht="17.25" customHeight="1">
      <c r="A420" s="15"/>
      <c r="B420" s="32"/>
      <c r="C420" s="24"/>
      <c r="D420" s="24"/>
      <c r="E420" s="35" t="s">
        <v>572</v>
      </c>
      <c r="F420" s="26" t="s">
        <v>49</v>
      </c>
      <c r="G420" s="27">
        <v>7000000</v>
      </c>
      <c r="H420" s="27">
        <v>7920000</v>
      </c>
      <c r="I420" s="28">
        <f t="shared" si="178"/>
        <v>-920000</v>
      </c>
      <c r="J420" s="120"/>
    </row>
    <row r="421" spans="1:10" s="30" customFormat="1" ht="17.25" customHeight="1">
      <c r="A421" s="15"/>
      <c r="B421" s="32"/>
      <c r="C421" s="24"/>
      <c r="D421" s="24"/>
      <c r="E421" s="33" t="s">
        <v>48</v>
      </c>
      <c r="F421" s="26" t="s">
        <v>267</v>
      </c>
      <c r="G421" s="27">
        <v>192000000</v>
      </c>
      <c r="H421" s="27">
        <f>192000000+9000000</f>
        <v>201000000</v>
      </c>
      <c r="I421" s="28">
        <f t="shared" si="178"/>
        <v>-9000000</v>
      </c>
      <c r="J421" s="120"/>
    </row>
    <row r="422" spans="1:10" s="30" customFormat="1" ht="17.25" customHeight="1">
      <c r="A422" s="15"/>
      <c r="B422" s="32"/>
      <c r="C422" s="24"/>
      <c r="D422" s="24"/>
      <c r="E422" s="33" t="s">
        <v>48</v>
      </c>
      <c r="F422" s="26" t="s">
        <v>265</v>
      </c>
      <c r="G422" s="27">
        <v>19000000</v>
      </c>
      <c r="H422" s="27">
        <v>19000000</v>
      </c>
      <c r="I422" s="28">
        <f t="shared" si="178"/>
        <v>0</v>
      </c>
      <c r="J422" s="120"/>
    </row>
    <row r="423" spans="1:10" s="30" customFormat="1" ht="17.25" customHeight="1">
      <c r="A423" s="15"/>
      <c r="B423" s="32"/>
      <c r="C423" s="24"/>
      <c r="D423" s="24"/>
      <c r="E423" s="33" t="s">
        <v>48</v>
      </c>
      <c r="F423" s="26" t="s">
        <v>87</v>
      </c>
      <c r="G423" s="27">
        <v>3000000</v>
      </c>
      <c r="H423" s="27">
        <v>3000000</v>
      </c>
      <c r="I423" s="28">
        <f t="shared" si="178"/>
        <v>0</v>
      </c>
      <c r="J423" s="120"/>
    </row>
    <row r="424" spans="1:10" s="30" customFormat="1" ht="17.25" customHeight="1">
      <c r="A424" s="15"/>
      <c r="B424" s="32"/>
      <c r="C424" s="24"/>
      <c r="D424" s="179" t="s">
        <v>88</v>
      </c>
      <c r="E424" s="180"/>
      <c r="F424" s="26"/>
      <c r="G424" s="45">
        <f>SUM(G425)</f>
        <v>120000</v>
      </c>
      <c r="H424" s="45">
        <f t="shared" ref="H424:I424" si="179">SUM(H425)</f>
        <v>120000</v>
      </c>
      <c r="I424" s="45">
        <f t="shared" si="179"/>
        <v>0</v>
      </c>
      <c r="J424" s="120"/>
    </row>
    <row r="425" spans="1:10" s="30" customFormat="1" ht="17.25" customHeight="1">
      <c r="A425" s="15"/>
      <c r="B425" s="32"/>
      <c r="C425" s="24"/>
      <c r="D425" s="24"/>
      <c r="E425" s="20" t="s">
        <v>269</v>
      </c>
      <c r="F425" s="26" t="s">
        <v>268</v>
      </c>
      <c r="G425" s="27">
        <f>120000</f>
        <v>120000</v>
      </c>
      <c r="H425" s="27">
        <f>120000</f>
        <v>120000</v>
      </c>
      <c r="I425" s="28">
        <f t="shared" si="178"/>
        <v>0</v>
      </c>
      <c r="J425" s="120"/>
    </row>
    <row r="426" spans="1:10" s="30" customFormat="1" ht="17.25" customHeight="1">
      <c r="A426" s="15"/>
      <c r="B426" s="176" t="s">
        <v>260</v>
      </c>
      <c r="C426" s="177"/>
      <c r="D426" s="177"/>
      <c r="E426" s="178"/>
      <c r="F426" s="16"/>
      <c r="G426" s="53">
        <f>G427+G438+G442</f>
        <v>45800000</v>
      </c>
      <c r="H426" s="53">
        <f t="shared" ref="H426:I426" si="180">H427+H438+H442</f>
        <v>86972000</v>
      </c>
      <c r="I426" s="53">
        <f t="shared" si="180"/>
        <v>-41172000</v>
      </c>
      <c r="J426" s="118"/>
    </row>
    <row r="427" spans="1:10" s="30" customFormat="1" ht="17.25" customHeight="1">
      <c r="A427" s="15"/>
      <c r="B427" s="32"/>
      <c r="C427" s="161" t="s">
        <v>536</v>
      </c>
      <c r="D427" s="162"/>
      <c r="E427" s="183"/>
      <c r="F427" s="43"/>
      <c r="G427" s="22">
        <f>G428+G430+G433+G435</f>
        <v>42800000</v>
      </c>
      <c r="H427" s="22">
        <f t="shared" ref="H427:I427" si="181">H428+H430+H433+H435</f>
        <v>84972000</v>
      </c>
      <c r="I427" s="22">
        <f t="shared" si="181"/>
        <v>-42172000</v>
      </c>
      <c r="J427" s="119"/>
    </row>
    <row r="428" spans="1:10" s="30" customFormat="1" ht="17.25" customHeight="1">
      <c r="A428" s="15"/>
      <c r="B428" s="32"/>
      <c r="C428" s="24"/>
      <c r="D428" s="179" t="s">
        <v>584</v>
      </c>
      <c r="E428" s="180"/>
      <c r="F428" s="26"/>
      <c r="G428" s="27">
        <f>SUM(G429)</f>
        <v>5000000</v>
      </c>
      <c r="H428" s="27">
        <f t="shared" ref="H428:I428" si="182">SUM(H429)</f>
        <v>18000000</v>
      </c>
      <c r="I428" s="27">
        <f t="shared" si="182"/>
        <v>-13000000</v>
      </c>
      <c r="J428" s="120"/>
    </row>
    <row r="429" spans="1:10" s="30" customFormat="1" ht="17.25" customHeight="1">
      <c r="A429" s="15"/>
      <c r="B429" s="32"/>
      <c r="C429" s="24"/>
      <c r="D429" s="24"/>
      <c r="E429" s="20" t="s">
        <v>630</v>
      </c>
      <c r="F429" s="26" t="s">
        <v>631</v>
      </c>
      <c r="G429" s="27">
        <v>5000000</v>
      </c>
      <c r="H429" s="27">
        <f>9000000+9000000</f>
        <v>18000000</v>
      </c>
      <c r="I429" s="28">
        <f t="shared" si="178"/>
        <v>-13000000</v>
      </c>
      <c r="J429" s="120"/>
    </row>
    <row r="430" spans="1:10" s="30" customFormat="1" ht="17.25" customHeight="1">
      <c r="A430" s="15"/>
      <c r="B430" s="32"/>
      <c r="C430" s="24"/>
      <c r="D430" s="179" t="s">
        <v>407</v>
      </c>
      <c r="E430" s="180"/>
      <c r="F430" s="26"/>
      <c r="G430" s="27">
        <f>SUM(G431:G432)</f>
        <v>7000000</v>
      </c>
      <c r="H430" s="27">
        <f t="shared" ref="H430:I430" si="183">SUM(H431:H432)</f>
        <v>38972000</v>
      </c>
      <c r="I430" s="27">
        <f t="shared" si="183"/>
        <v>-31972000</v>
      </c>
      <c r="J430" s="120"/>
    </row>
    <row r="431" spans="1:10" s="30" customFormat="1" ht="17.25" customHeight="1">
      <c r="A431" s="15"/>
      <c r="B431" s="32"/>
      <c r="C431" s="24"/>
      <c r="D431" s="24"/>
      <c r="E431" s="33" t="s">
        <v>259</v>
      </c>
      <c r="F431" s="26" t="s">
        <v>35</v>
      </c>
      <c r="G431" s="27">
        <v>5000000</v>
      </c>
      <c r="H431" s="27">
        <f>10000000+16000000+10972000</f>
        <v>36972000</v>
      </c>
      <c r="I431" s="28">
        <f t="shared" si="178"/>
        <v>-31972000</v>
      </c>
      <c r="J431" s="120"/>
    </row>
    <row r="432" spans="1:10" s="30" customFormat="1" ht="17.25" customHeight="1">
      <c r="A432" s="15"/>
      <c r="B432" s="32"/>
      <c r="C432" s="24"/>
      <c r="D432" s="24"/>
      <c r="E432" s="20" t="s">
        <v>253</v>
      </c>
      <c r="F432" s="26" t="s">
        <v>252</v>
      </c>
      <c r="G432" s="27">
        <v>2000000</v>
      </c>
      <c r="H432" s="27">
        <v>2000000</v>
      </c>
      <c r="I432" s="28">
        <f t="shared" si="178"/>
        <v>0</v>
      </c>
      <c r="J432" s="120"/>
    </row>
    <row r="433" spans="1:10" s="30" customFormat="1" ht="17.25" customHeight="1">
      <c r="A433" s="15"/>
      <c r="B433" s="32"/>
      <c r="C433" s="24"/>
      <c r="D433" s="179" t="s">
        <v>571</v>
      </c>
      <c r="E433" s="180"/>
      <c r="F433" s="26"/>
      <c r="G433" s="27">
        <f>SUM(G434)</f>
        <v>16800000</v>
      </c>
      <c r="H433" s="27">
        <f t="shared" ref="H433:I433" si="184">SUM(H434)</f>
        <v>14000000</v>
      </c>
      <c r="I433" s="27">
        <f t="shared" si="184"/>
        <v>2800000</v>
      </c>
      <c r="J433" s="120"/>
    </row>
    <row r="434" spans="1:10" s="30" customFormat="1" ht="17.25" customHeight="1">
      <c r="A434" s="15"/>
      <c r="B434" s="32"/>
      <c r="C434" s="24"/>
      <c r="D434" s="24"/>
      <c r="E434" s="33" t="s">
        <v>258</v>
      </c>
      <c r="F434" s="26" t="s">
        <v>257</v>
      </c>
      <c r="G434" s="27">
        <f>1400000*12</f>
        <v>16800000</v>
      </c>
      <c r="H434" s="27">
        <v>14000000</v>
      </c>
      <c r="I434" s="28">
        <f t="shared" si="178"/>
        <v>2800000</v>
      </c>
      <c r="J434" s="120"/>
    </row>
    <row r="435" spans="1:10" s="30" customFormat="1" ht="17.25" customHeight="1">
      <c r="A435" s="15"/>
      <c r="B435" s="32"/>
      <c r="C435" s="24"/>
      <c r="D435" s="179" t="s">
        <v>632</v>
      </c>
      <c r="E435" s="180"/>
      <c r="F435" s="26"/>
      <c r="G435" s="27">
        <f>SUM(G436:G437)</f>
        <v>14000000</v>
      </c>
      <c r="H435" s="27">
        <f t="shared" ref="H435:I435" si="185">SUM(H436:H437)</f>
        <v>14000000</v>
      </c>
      <c r="I435" s="27">
        <f t="shared" si="185"/>
        <v>0</v>
      </c>
      <c r="J435" s="120"/>
    </row>
    <row r="436" spans="1:10" s="30" customFormat="1" ht="17.25" customHeight="1">
      <c r="A436" s="15"/>
      <c r="B436" s="32"/>
      <c r="C436" s="24"/>
      <c r="D436" s="24"/>
      <c r="E436" s="35" t="s">
        <v>256</v>
      </c>
      <c r="F436" s="26" t="s">
        <v>255</v>
      </c>
      <c r="G436" s="27">
        <v>10000000</v>
      </c>
      <c r="H436" s="27">
        <v>10000000</v>
      </c>
      <c r="I436" s="28">
        <f t="shared" ref="I436:I449" si="186">G436-H436</f>
        <v>0</v>
      </c>
      <c r="J436" s="120"/>
    </row>
    <row r="437" spans="1:10" s="30" customFormat="1" ht="17.25" customHeight="1">
      <c r="A437" s="15"/>
      <c r="B437" s="32"/>
      <c r="C437" s="24"/>
      <c r="D437" s="24"/>
      <c r="E437" s="20" t="s">
        <v>51</v>
      </c>
      <c r="F437" s="26" t="s">
        <v>254</v>
      </c>
      <c r="G437" s="27">
        <v>4000000</v>
      </c>
      <c r="H437" s="27">
        <v>4000000</v>
      </c>
      <c r="I437" s="28">
        <f t="shared" si="186"/>
        <v>0</v>
      </c>
      <c r="J437" s="120"/>
    </row>
    <row r="438" spans="1:10" ht="17.25" customHeight="1">
      <c r="A438" s="15"/>
      <c r="B438" s="32"/>
      <c r="C438" s="161" t="s">
        <v>537</v>
      </c>
      <c r="D438" s="162"/>
      <c r="E438" s="183"/>
      <c r="F438" s="43"/>
      <c r="G438" s="44">
        <f>G439</f>
        <v>2000000</v>
      </c>
      <c r="H438" s="44">
        <f t="shared" ref="H438:I438" si="187">H439</f>
        <v>2000000</v>
      </c>
      <c r="I438" s="44">
        <f t="shared" si="187"/>
        <v>0</v>
      </c>
      <c r="J438" s="119"/>
    </row>
    <row r="439" spans="1:10" ht="17.25" customHeight="1">
      <c r="A439" s="15"/>
      <c r="B439" s="32"/>
      <c r="C439" s="24"/>
      <c r="D439" s="179" t="s">
        <v>563</v>
      </c>
      <c r="E439" s="180"/>
      <c r="F439" s="26"/>
      <c r="G439" s="45">
        <f>SUM(G440:G441)</f>
        <v>2000000</v>
      </c>
      <c r="H439" s="45">
        <f>SUM(H440:H441)</f>
        <v>2000000</v>
      </c>
      <c r="I439" s="28">
        <f t="shared" si="186"/>
        <v>0</v>
      </c>
      <c r="J439" s="120"/>
    </row>
    <row r="440" spans="1:10" ht="17.25" customHeight="1">
      <c r="A440" s="15"/>
      <c r="B440" s="32"/>
      <c r="C440" s="24"/>
      <c r="D440" s="24"/>
      <c r="E440" s="33" t="s">
        <v>250</v>
      </c>
      <c r="F440" s="26" t="s">
        <v>251</v>
      </c>
      <c r="G440" s="27">
        <v>1600000</v>
      </c>
      <c r="H440" s="27">
        <v>1600000</v>
      </c>
      <c r="I440" s="28">
        <f t="shared" si="186"/>
        <v>0</v>
      </c>
      <c r="J440" s="120"/>
    </row>
    <row r="441" spans="1:10" ht="17.25" customHeight="1">
      <c r="A441" s="15"/>
      <c r="B441" s="32"/>
      <c r="C441" s="24"/>
      <c r="D441" s="24"/>
      <c r="E441" s="20" t="s">
        <v>250</v>
      </c>
      <c r="F441" s="26" t="s">
        <v>53</v>
      </c>
      <c r="G441" s="27">
        <v>400000</v>
      </c>
      <c r="H441" s="27">
        <v>400000</v>
      </c>
      <c r="I441" s="28">
        <f t="shared" si="186"/>
        <v>0</v>
      </c>
      <c r="J441" s="120"/>
    </row>
    <row r="442" spans="1:10" s="30" customFormat="1" ht="17.25" customHeight="1">
      <c r="A442" s="15"/>
      <c r="B442" s="32"/>
      <c r="C442" s="161" t="s">
        <v>538</v>
      </c>
      <c r="D442" s="162"/>
      <c r="E442" s="183"/>
      <c r="F442" s="43"/>
      <c r="G442" s="22">
        <f>G443</f>
        <v>1000000</v>
      </c>
      <c r="H442" s="22">
        <f t="shared" ref="H442:I442" si="188">H443</f>
        <v>0</v>
      </c>
      <c r="I442" s="22">
        <f t="shared" si="188"/>
        <v>1000000</v>
      </c>
      <c r="J442" s="119"/>
    </row>
    <row r="443" spans="1:10" s="30" customFormat="1" ht="17.25" customHeight="1">
      <c r="A443" s="15"/>
      <c r="B443" s="32"/>
      <c r="C443" s="24"/>
      <c r="D443" s="179" t="s">
        <v>633</v>
      </c>
      <c r="E443" s="180"/>
      <c r="F443" s="26"/>
      <c r="G443" s="27">
        <f>SUM(G444)</f>
        <v>1000000</v>
      </c>
      <c r="H443" s="27">
        <f t="shared" ref="H443:I443" si="189">SUM(H444)</f>
        <v>0</v>
      </c>
      <c r="I443" s="27">
        <f t="shared" si="189"/>
        <v>1000000</v>
      </c>
      <c r="J443" s="120"/>
    </row>
    <row r="444" spans="1:10" s="30" customFormat="1" ht="17.25" customHeight="1">
      <c r="A444" s="15"/>
      <c r="B444" s="32"/>
      <c r="C444" s="24"/>
      <c r="D444" s="24"/>
      <c r="E444" s="33" t="s">
        <v>634</v>
      </c>
      <c r="F444" s="26" t="s">
        <v>635</v>
      </c>
      <c r="G444" s="27">
        <v>1000000</v>
      </c>
      <c r="H444" s="27">
        <v>0</v>
      </c>
      <c r="I444" s="28">
        <f t="shared" si="186"/>
        <v>1000000</v>
      </c>
      <c r="J444" s="120" t="s">
        <v>637</v>
      </c>
    </row>
    <row r="445" spans="1:10" ht="17.25" customHeight="1">
      <c r="A445" s="187" t="s">
        <v>54</v>
      </c>
      <c r="B445" s="188"/>
      <c r="C445" s="188"/>
      <c r="D445" s="188"/>
      <c r="E445" s="189"/>
      <c r="F445" s="56"/>
      <c r="G445" s="57">
        <f>G446</f>
        <v>0</v>
      </c>
      <c r="H445" s="57">
        <f t="shared" ref="H445:I445" si="190">H446</f>
        <v>336180000</v>
      </c>
      <c r="I445" s="57">
        <f t="shared" si="190"/>
        <v>-336180000</v>
      </c>
      <c r="J445" s="124"/>
    </row>
    <row r="446" spans="1:10" ht="17.25" customHeight="1">
      <c r="A446" s="15"/>
      <c r="B446" s="176" t="s">
        <v>249</v>
      </c>
      <c r="C446" s="177"/>
      <c r="D446" s="177"/>
      <c r="E446" s="178"/>
      <c r="F446" s="16"/>
      <c r="G446" s="17">
        <f>G447</f>
        <v>0</v>
      </c>
      <c r="H446" s="17">
        <f t="shared" ref="H446:H447" si="191">H447</f>
        <v>336180000</v>
      </c>
      <c r="I446" s="17">
        <f t="shared" ref="I446" si="192">I447</f>
        <v>-336180000</v>
      </c>
      <c r="J446" s="118"/>
    </row>
    <row r="447" spans="1:10" ht="17.25" customHeight="1">
      <c r="A447" s="19"/>
      <c r="B447" s="25"/>
      <c r="C447" s="162" t="s">
        <v>539</v>
      </c>
      <c r="D447" s="162"/>
      <c r="E447" s="183"/>
      <c r="F447" s="43"/>
      <c r="G447" s="22">
        <f>G448</f>
        <v>0</v>
      </c>
      <c r="H447" s="22">
        <f t="shared" si="191"/>
        <v>336180000</v>
      </c>
      <c r="I447" s="22">
        <f t="shared" ref="I447" si="193">I448</f>
        <v>-336180000</v>
      </c>
      <c r="J447" s="119"/>
    </row>
    <row r="448" spans="1:10" ht="17.25" customHeight="1">
      <c r="A448" s="19"/>
      <c r="B448" s="31"/>
      <c r="C448" s="32"/>
      <c r="D448" s="179" t="s">
        <v>248</v>
      </c>
      <c r="E448" s="180"/>
      <c r="F448" s="26"/>
      <c r="G448" s="27">
        <f>SUM(G449)</f>
        <v>0</v>
      </c>
      <c r="H448" s="27">
        <f t="shared" ref="H448:I448" si="194">SUM(H449)</f>
        <v>336180000</v>
      </c>
      <c r="I448" s="27">
        <f t="shared" si="194"/>
        <v>-336180000</v>
      </c>
      <c r="J448" s="120"/>
    </row>
    <row r="449" spans="1:10" ht="17.25" customHeight="1">
      <c r="A449" s="88"/>
      <c r="B449" s="89"/>
      <c r="C449" s="72"/>
      <c r="D449" s="74"/>
      <c r="E449" s="74" t="s">
        <v>247</v>
      </c>
      <c r="F449" s="74" t="s">
        <v>246</v>
      </c>
      <c r="G449" s="75">
        <v>0</v>
      </c>
      <c r="H449" s="75">
        <f>136180000+200000000</f>
        <v>336180000</v>
      </c>
      <c r="I449" s="76">
        <f t="shared" si="186"/>
        <v>-336180000</v>
      </c>
      <c r="J449" s="127" t="s">
        <v>245</v>
      </c>
    </row>
    <row r="450" spans="1:10" s="11" customFormat="1" ht="17.25" customHeight="1">
      <c r="A450" s="184" t="s">
        <v>235</v>
      </c>
      <c r="B450" s="185"/>
      <c r="C450" s="185"/>
      <c r="D450" s="185"/>
      <c r="E450" s="186"/>
      <c r="F450" s="77"/>
      <c r="G450" s="94">
        <f>G445+G383+G330+G295+G207+G117+G5</f>
        <v>14627006200.333334</v>
      </c>
      <c r="H450" s="94">
        <f>H445+H383+H330+H295+H207+H117+H5</f>
        <v>14954000000</v>
      </c>
      <c r="I450" s="94">
        <f>I445+I383+I330+I295+I207+I117+I5</f>
        <v>-326993799.66666669</v>
      </c>
      <c r="J450" s="79"/>
    </row>
    <row r="452" spans="1:10" ht="22.5" customHeight="1">
      <c r="G452" s="151"/>
    </row>
  </sheetData>
  <mergeCells count="181">
    <mergeCell ref="A3:E3"/>
    <mergeCell ref="F3:F4"/>
    <mergeCell ref="H3:H4"/>
    <mergeCell ref="G3:G4"/>
    <mergeCell ref="I3:I4"/>
    <mergeCell ref="J3:J4"/>
    <mergeCell ref="A5:E5"/>
    <mergeCell ref="B6:E6"/>
    <mergeCell ref="C7:E7"/>
    <mergeCell ref="D8:E8"/>
    <mergeCell ref="D37:E37"/>
    <mergeCell ref="D31:E31"/>
    <mergeCell ref="C36:E36"/>
    <mergeCell ref="C82:E82"/>
    <mergeCell ref="D83:E83"/>
    <mergeCell ref="C60:E60"/>
    <mergeCell ref="D61:E61"/>
    <mergeCell ref="D63:E63"/>
    <mergeCell ref="D55:E55"/>
    <mergeCell ref="D112:E112"/>
    <mergeCell ref="C114:E114"/>
    <mergeCell ref="D115:E115"/>
    <mergeCell ref="C99:E99"/>
    <mergeCell ref="D100:E100"/>
    <mergeCell ref="C70:E70"/>
    <mergeCell ref="D71:E71"/>
    <mergeCell ref="D75:E75"/>
    <mergeCell ref="B90:E90"/>
    <mergeCell ref="C91:E91"/>
    <mergeCell ref="D92:E92"/>
    <mergeCell ref="D95:E95"/>
    <mergeCell ref="D97:E97"/>
    <mergeCell ref="D87:E87"/>
    <mergeCell ref="D141:E141"/>
    <mergeCell ref="A117:E117"/>
    <mergeCell ref="B118:E118"/>
    <mergeCell ref="C119:E119"/>
    <mergeCell ref="D120:E120"/>
    <mergeCell ref="B122:E122"/>
    <mergeCell ref="C123:E123"/>
    <mergeCell ref="D124:E124"/>
    <mergeCell ref="D126:E126"/>
    <mergeCell ref="D133:E133"/>
    <mergeCell ref="D167:E167"/>
    <mergeCell ref="D169:E169"/>
    <mergeCell ref="D172:E172"/>
    <mergeCell ref="B176:E176"/>
    <mergeCell ref="C189:E189"/>
    <mergeCell ref="D190:E190"/>
    <mergeCell ref="C180:E180"/>
    <mergeCell ref="D181:E181"/>
    <mergeCell ref="D147:E147"/>
    <mergeCell ref="D150:E150"/>
    <mergeCell ref="D153:E153"/>
    <mergeCell ref="D158:E158"/>
    <mergeCell ref="D218:E218"/>
    <mergeCell ref="C220:E220"/>
    <mergeCell ref="D221:E221"/>
    <mergeCell ref="D184:E184"/>
    <mergeCell ref="D186:E186"/>
    <mergeCell ref="C177:E177"/>
    <mergeCell ref="D178:E178"/>
    <mergeCell ref="B193:E193"/>
    <mergeCell ref="C194:E194"/>
    <mergeCell ref="D195:E195"/>
    <mergeCell ref="B197:E197"/>
    <mergeCell ref="C201:E201"/>
    <mergeCell ref="D202:E202"/>
    <mergeCell ref="A207:E207"/>
    <mergeCell ref="B208:E208"/>
    <mergeCell ref="C215:E215"/>
    <mergeCell ref="D216:E216"/>
    <mergeCell ref="C256:E256"/>
    <mergeCell ref="D257:E257"/>
    <mergeCell ref="C261:E261"/>
    <mergeCell ref="D262:E262"/>
    <mergeCell ref="B264:E264"/>
    <mergeCell ref="C265:E265"/>
    <mergeCell ref="D266:E266"/>
    <mergeCell ref="C230:E230"/>
    <mergeCell ref="D231:E231"/>
    <mergeCell ref="B247:E247"/>
    <mergeCell ref="C248:E248"/>
    <mergeCell ref="D249:E249"/>
    <mergeCell ref="D239:E239"/>
    <mergeCell ref="C236:E236"/>
    <mergeCell ref="D237:E237"/>
    <mergeCell ref="C297:E297"/>
    <mergeCell ref="D298:E298"/>
    <mergeCell ref="D303:E303"/>
    <mergeCell ref="D306:E306"/>
    <mergeCell ref="D268:E268"/>
    <mergeCell ref="B270:E270"/>
    <mergeCell ref="C271:E271"/>
    <mergeCell ref="D272:E272"/>
    <mergeCell ref="C277:E277"/>
    <mergeCell ref="D278:E278"/>
    <mergeCell ref="A295:E295"/>
    <mergeCell ref="B296:E296"/>
    <mergeCell ref="C283:E283"/>
    <mergeCell ref="D284:E284"/>
    <mergeCell ref="D275:E275"/>
    <mergeCell ref="D281:E281"/>
    <mergeCell ref="D290:E290"/>
    <mergeCell ref="D325:E325"/>
    <mergeCell ref="A330:E330"/>
    <mergeCell ref="B331:E331"/>
    <mergeCell ref="C332:E332"/>
    <mergeCell ref="D333:E333"/>
    <mergeCell ref="D345:E345"/>
    <mergeCell ref="D347:E347"/>
    <mergeCell ref="D314:E314"/>
    <mergeCell ref="D310:E310"/>
    <mergeCell ref="D320:E320"/>
    <mergeCell ref="D322:E322"/>
    <mergeCell ref="D343:E343"/>
    <mergeCell ref="B312:E312"/>
    <mergeCell ref="C313:E313"/>
    <mergeCell ref="C317:E317"/>
    <mergeCell ref="D318:E318"/>
    <mergeCell ref="B316:E316"/>
    <mergeCell ref="D394:E394"/>
    <mergeCell ref="D392:E392"/>
    <mergeCell ref="D359:E359"/>
    <mergeCell ref="D363:E363"/>
    <mergeCell ref="B361:E361"/>
    <mergeCell ref="C362:E362"/>
    <mergeCell ref="D366:E366"/>
    <mergeCell ref="C368:E368"/>
    <mergeCell ref="D350:E350"/>
    <mergeCell ref="C353:E353"/>
    <mergeCell ref="D354:E354"/>
    <mergeCell ref="D357:E357"/>
    <mergeCell ref="D369:E369"/>
    <mergeCell ref="D376:E376"/>
    <mergeCell ref="B378:E378"/>
    <mergeCell ref="C379:E379"/>
    <mergeCell ref="D380:E380"/>
    <mergeCell ref="A383:E383"/>
    <mergeCell ref="B384:E384"/>
    <mergeCell ref="C385:E385"/>
    <mergeCell ref="D386:E386"/>
    <mergeCell ref="C447:E447"/>
    <mergeCell ref="D448:E448"/>
    <mergeCell ref="A450:E450"/>
    <mergeCell ref="C438:E438"/>
    <mergeCell ref="D439:E439"/>
    <mergeCell ref="A445:E445"/>
    <mergeCell ref="B446:E446"/>
    <mergeCell ref="C442:E442"/>
    <mergeCell ref="B426:E426"/>
    <mergeCell ref="D430:E430"/>
    <mergeCell ref="C427:E427"/>
    <mergeCell ref="D428:E428"/>
    <mergeCell ref="D435:E435"/>
    <mergeCell ref="D433:E433"/>
    <mergeCell ref="D443:E443"/>
    <mergeCell ref="D417:E417"/>
    <mergeCell ref="D424:E424"/>
    <mergeCell ref="D397:E397"/>
    <mergeCell ref="D399:E399"/>
    <mergeCell ref="B401:E401"/>
    <mergeCell ref="D110:E110"/>
    <mergeCell ref="D174:E174"/>
    <mergeCell ref="D226:E226"/>
    <mergeCell ref="D233:E233"/>
    <mergeCell ref="D254:E254"/>
    <mergeCell ref="D252:E252"/>
    <mergeCell ref="C223:E223"/>
    <mergeCell ref="D224:E224"/>
    <mergeCell ref="D228:E228"/>
    <mergeCell ref="C209:E209"/>
    <mergeCell ref="D210:E210"/>
    <mergeCell ref="D213:E213"/>
    <mergeCell ref="C198:E198"/>
    <mergeCell ref="D199:E199"/>
    <mergeCell ref="C204:E204"/>
    <mergeCell ref="D205:E205"/>
    <mergeCell ref="C402:E402"/>
    <mergeCell ref="D413:E413"/>
    <mergeCell ref="D403:E403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총괄표</vt:lpstr>
      <vt:lpstr>2011학년도 세입예산 명세서</vt:lpstr>
      <vt:lpstr>2011학년도 세출예산 명세서</vt:lpstr>
      <vt:lpstr>'2011학년도 세입예산 명세서'!Print_Area</vt:lpstr>
      <vt:lpstr>'2011학년도 세입예산 명세서'!Print_Titles</vt:lpstr>
    </vt:vector>
  </TitlesOfParts>
  <Company>경기도교육청 기획예산담당관실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반기결산</dc:title>
  <dc:subject>결산,재무</dc:subject>
  <dc:creator>정희정</dc:creator>
  <dc:description>신임교장선생님 보고자료</dc:description>
  <cp:lastModifiedBy>NIS</cp:lastModifiedBy>
  <cp:lastPrinted>2011-01-21T03:04:59Z</cp:lastPrinted>
  <dcterms:created xsi:type="dcterms:W3CDTF">2007-10-01T05:52:54Z</dcterms:created>
  <dcterms:modified xsi:type="dcterms:W3CDTF">2011-01-26T03:32:32Z</dcterms:modified>
</cp:coreProperties>
</file>