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700" windowWidth="19260" windowHeight="5625" activeTab="2"/>
  </bookViews>
  <sheets>
    <sheet name="2014학년도총괄표" sheetId="59" r:id="rId1"/>
    <sheet name="2014학년도세입예산서" sheetId="68" r:id="rId2"/>
    <sheet name="2014학년도세출예산서" sheetId="69" r:id="rId3"/>
  </sheets>
  <definedNames>
    <definedName name="_xlnm._FilterDatabase" localSheetId="1" hidden="1">'2014학년도세입예산서'!$A$4:$J$146</definedName>
    <definedName name="_xlnm.Print_Area" localSheetId="1">'2014학년도세입예산서'!$A$1:$J$146</definedName>
    <definedName name="_xlnm.Print_Area" localSheetId="2">'2014학년도세출예산서'!$A$1:$J$482</definedName>
    <definedName name="_xlnm.Print_Titles" localSheetId="1">'2014학년도세입예산서'!$3:$4</definedName>
    <definedName name="_xlnm.Print_Titles" localSheetId="2">'2014학년도세출예산서'!$3:$4</definedName>
  </definedNames>
  <calcPr calcId="145621"/>
</workbook>
</file>

<file path=xl/calcChain.xml><?xml version="1.0" encoding="utf-8"?>
<calcChain xmlns="http://schemas.openxmlformats.org/spreadsheetml/2006/main">
  <c r="I434" i="69" l="1"/>
  <c r="I433" i="69" s="1"/>
  <c r="H433" i="69"/>
  <c r="I328" i="69"/>
  <c r="I329" i="69"/>
  <c r="H329" i="69"/>
  <c r="I346" i="69"/>
  <c r="H346" i="69"/>
  <c r="H339" i="69"/>
  <c r="I317" i="69"/>
  <c r="I301" i="69"/>
  <c r="H444" i="69"/>
  <c r="H434" i="69" s="1"/>
  <c r="I461" i="69"/>
  <c r="H437" i="69"/>
  <c r="I57" i="69"/>
  <c r="I364" i="69"/>
  <c r="H364" i="69"/>
  <c r="I365" i="69"/>
  <c r="H365" i="69"/>
  <c r="G365" i="69"/>
  <c r="I366" i="69"/>
  <c r="H366" i="69"/>
  <c r="H14" i="59" l="1"/>
  <c r="D14" i="59"/>
  <c r="F11" i="59" l="1"/>
  <c r="F9" i="59"/>
  <c r="F8" i="59"/>
  <c r="F7" i="59"/>
  <c r="F6" i="59"/>
  <c r="F5" i="59"/>
  <c r="F4" i="59"/>
  <c r="B5" i="59"/>
  <c r="B4" i="59"/>
  <c r="G39" i="68" l="1"/>
  <c r="G477" i="69"/>
  <c r="G393" i="69"/>
  <c r="G327" i="69"/>
  <c r="G278" i="69"/>
  <c r="G216" i="69"/>
  <c r="G110" i="69"/>
  <c r="G5" i="69"/>
  <c r="G456" i="69"/>
  <c r="G433" i="69"/>
  <c r="G407" i="69"/>
  <c r="G394" i="69"/>
  <c r="G387" i="69"/>
  <c r="G368" i="69"/>
  <c r="G364" i="69"/>
  <c r="G328" i="69"/>
  <c r="G317" i="69"/>
  <c r="G300" i="69"/>
  <c r="G292" i="69"/>
  <c r="G279" i="69"/>
  <c r="G249" i="69"/>
  <c r="G217" i="69"/>
  <c r="G206" i="69"/>
  <c r="G201" i="69"/>
  <c r="G166" i="69"/>
  <c r="G115" i="69"/>
  <c r="G111" i="69"/>
  <c r="G86" i="69"/>
  <c r="G56" i="69"/>
  <c r="G34" i="69"/>
  <c r="G6" i="69"/>
  <c r="G424" i="69"/>
  <c r="G140" i="69"/>
  <c r="I452" i="69"/>
  <c r="G346" i="69"/>
  <c r="G354" i="69"/>
  <c r="I354" i="69" s="1"/>
  <c r="G434" i="69"/>
  <c r="I445" i="69"/>
  <c r="I444" i="69" s="1"/>
  <c r="G444" i="69"/>
  <c r="I345" i="69"/>
  <c r="I344" i="69"/>
  <c r="I343" i="69"/>
  <c r="I342" i="69"/>
  <c r="I341" i="69"/>
  <c r="I340" i="69"/>
  <c r="I339" i="69" s="1"/>
  <c r="G339" i="69"/>
  <c r="I443" i="69"/>
  <c r="I442" i="69"/>
  <c r="I441" i="69"/>
  <c r="I440" i="69"/>
  <c r="I439" i="69"/>
  <c r="I438" i="69"/>
  <c r="I437" i="69" s="1"/>
  <c r="G437" i="69"/>
  <c r="G38" i="68" l="1"/>
  <c r="G103" i="69" l="1"/>
  <c r="G102" i="69"/>
  <c r="G101" i="69"/>
  <c r="G100" i="69"/>
  <c r="G99" i="69"/>
  <c r="G98" i="69"/>
  <c r="G97" i="69"/>
  <c r="G96" i="69"/>
  <c r="G95" i="69"/>
  <c r="G135" i="69" l="1"/>
  <c r="G130" i="69"/>
  <c r="G131" i="69"/>
  <c r="G136" i="69"/>
  <c r="G126" i="69"/>
  <c r="G119" i="69"/>
  <c r="G117" i="69"/>
  <c r="G421" i="69" l="1"/>
  <c r="G410" i="69"/>
  <c r="H5" i="59"/>
  <c r="H6" i="59"/>
  <c r="H7" i="59"/>
  <c r="H8" i="59"/>
  <c r="H9" i="59"/>
  <c r="H4" i="59"/>
  <c r="D7" i="59"/>
  <c r="D8" i="59"/>
  <c r="D9" i="59"/>
  <c r="D10" i="59"/>
  <c r="D11" i="59"/>
  <c r="D12" i="59"/>
  <c r="D13" i="59"/>
  <c r="D5" i="59"/>
  <c r="D4" i="59"/>
  <c r="I143" i="68"/>
  <c r="H143" i="68"/>
  <c r="G143" i="68"/>
  <c r="I145" i="68"/>
  <c r="G386" i="69" l="1"/>
  <c r="H61" i="69" l="1"/>
  <c r="G374" i="69" l="1"/>
  <c r="G85" i="69" l="1"/>
  <c r="G83" i="69"/>
  <c r="G49" i="69"/>
  <c r="G44" i="69"/>
  <c r="G40" i="69"/>
  <c r="G39" i="69"/>
  <c r="G27" i="69"/>
  <c r="G23" i="69"/>
  <c r="G22" i="69"/>
  <c r="G17" i="69"/>
  <c r="G15" i="69"/>
  <c r="G14" i="69"/>
  <c r="G12" i="69"/>
  <c r="G125" i="68"/>
  <c r="G267" i="69"/>
  <c r="G416" i="69" l="1"/>
  <c r="G481" i="69"/>
  <c r="H263" i="69"/>
  <c r="G266" i="69"/>
  <c r="I266" i="69" s="1"/>
  <c r="I436" i="69"/>
  <c r="I435" i="69" s="1"/>
  <c r="H435" i="69"/>
  <c r="G435" i="69"/>
  <c r="G472" i="69" l="1"/>
  <c r="G367" i="69"/>
  <c r="G366" i="69" s="1"/>
  <c r="G265" i="69"/>
  <c r="G264" i="69"/>
  <c r="H336" i="69"/>
  <c r="I338" i="69"/>
  <c r="G149" i="69"/>
  <c r="G153" i="69"/>
  <c r="G154" i="69"/>
  <c r="G143" i="69"/>
  <c r="I367" i="69" l="1"/>
  <c r="G336" i="69"/>
  <c r="G164" i="69"/>
  <c r="G158" i="69"/>
  <c r="G144" i="69"/>
  <c r="I136" i="69" l="1"/>
  <c r="G282" i="69" l="1"/>
  <c r="G74" i="68"/>
  <c r="G73" i="68"/>
  <c r="G72" i="68"/>
  <c r="G69" i="68"/>
  <c r="G68" i="68"/>
  <c r="G67" i="68"/>
  <c r="G66" i="68"/>
  <c r="G65" i="68"/>
  <c r="G104" i="68"/>
  <c r="G106" i="68"/>
  <c r="G111" i="68"/>
  <c r="G113" i="68"/>
  <c r="G110" i="68"/>
  <c r="G103" i="68"/>
  <c r="G105" i="68"/>
  <c r="G87" i="68" l="1"/>
  <c r="G84" i="68"/>
  <c r="G76" i="68"/>
  <c r="G75" i="68"/>
  <c r="G71" i="68"/>
  <c r="G70" i="68"/>
  <c r="G108" i="68" l="1"/>
  <c r="G109" i="68"/>
  <c r="G107" i="68"/>
  <c r="G101" i="68"/>
  <c r="G102" i="68"/>
  <c r="G100" i="68"/>
  <c r="G50" i="68"/>
  <c r="G133" i="69"/>
  <c r="G134" i="69"/>
  <c r="G212" i="69"/>
  <c r="G209" i="69"/>
  <c r="G257" i="69"/>
  <c r="G256" i="69"/>
  <c r="G255" i="69"/>
  <c r="G254" i="69"/>
  <c r="I152" i="69" l="1"/>
  <c r="G324" i="69"/>
  <c r="I423" i="69" l="1"/>
  <c r="I151" i="69"/>
  <c r="G99" i="68" l="1"/>
  <c r="H99" i="68"/>
  <c r="H63" i="68" s="1"/>
  <c r="I80" i="68"/>
  <c r="I86" i="68"/>
  <c r="H86" i="68"/>
  <c r="G86" i="68"/>
  <c r="G97" i="68"/>
  <c r="G81" i="68"/>
  <c r="G78" i="68"/>
  <c r="G150" i="69" l="1"/>
  <c r="G225" i="69"/>
  <c r="G226" i="69"/>
  <c r="G412" i="69" l="1"/>
  <c r="G413" i="69"/>
  <c r="G142" i="69"/>
  <c r="G425" i="69"/>
  <c r="G156" i="69"/>
  <c r="G155" i="69"/>
  <c r="G157" i="69"/>
  <c r="G173" i="69"/>
  <c r="I421" i="69"/>
  <c r="G148" i="69"/>
  <c r="G418" i="69"/>
  <c r="G141" i="69"/>
  <c r="G420" i="69"/>
  <c r="G419" i="69"/>
  <c r="I419" i="69" s="1"/>
  <c r="G147" i="69"/>
  <c r="G145" i="69"/>
  <c r="G146" i="69"/>
  <c r="I147" i="69" l="1"/>
  <c r="G426" i="69"/>
  <c r="G428" i="69"/>
  <c r="G371" i="69"/>
  <c r="G402" i="69"/>
  <c r="G357" i="69"/>
  <c r="G248" i="69"/>
  <c r="G247" i="69"/>
  <c r="G246" i="69"/>
  <c r="G242" i="69"/>
  <c r="G243" i="69"/>
  <c r="G244" i="69"/>
  <c r="G245" i="69"/>
  <c r="G272" i="69"/>
  <c r="G275" i="69"/>
  <c r="G83" i="68"/>
  <c r="G90" i="68"/>
  <c r="G88" i="68"/>
  <c r="G89" i="68"/>
  <c r="G94" i="68"/>
  <c r="G82" i="68"/>
  <c r="G59" i="68"/>
  <c r="G60" i="68"/>
  <c r="G61" i="68"/>
  <c r="G58" i="68"/>
  <c r="G54" i="68"/>
  <c r="G55" i="68"/>
  <c r="G53" i="68"/>
  <c r="G52" i="68"/>
  <c r="G480" i="69" l="1"/>
  <c r="H269" i="69"/>
  <c r="H199" i="69"/>
  <c r="H188" i="69"/>
  <c r="H203" i="69"/>
  <c r="H117" i="68"/>
  <c r="G185" i="69" l="1"/>
  <c r="H185" i="69"/>
  <c r="I481" i="69" l="1"/>
  <c r="I480" i="69" s="1"/>
  <c r="I479" i="69" s="1"/>
  <c r="I478" i="69" s="1"/>
  <c r="I477" i="69" s="1"/>
  <c r="H480" i="69"/>
  <c r="H479" i="69" s="1"/>
  <c r="H478" i="69" s="1"/>
  <c r="H477" i="69" s="1"/>
  <c r="G479" i="69"/>
  <c r="G478" i="69" s="1"/>
  <c r="I476" i="69"/>
  <c r="I475" i="69"/>
  <c r="I474" i="69"/>
  <c r="I473" i="69"/>
  <c r="I472" i="69"/>
  <c r="H471" i="69"/>
  <c r="G471" i="69"/>
  <c r="G470" i="69" s="1"/>
  <c r="G469" i="69" s="1"/>
  <c r="G468" i="69" s="1"/>
  <c r="F10" i="59" s="1"/>
  <c r="H10" i="59" s="1"/>
  <c r="H470" i="69"/>
  <c r="H469" i="69" s="1"/>
  <c r="H468" i="69" s="1"/>
  <c r="I467" i="69"/>
  <c r="I466" i="69" s="1"/>
  <c r="I465" i="69" s="1"/>
  <c r="I464" i="69" s="1"/>
  <c r="H466" i="69"/>
  <c r="G466" i="69"/>
  <c r="H465" i="69"/>
  <c r="G465" i="69"/>
  <c r="H464" i="69"/>
  <c r="G464" i="69"/>
  <c r="I463" i="69"/>
  <c r="I462" i="69" s="1"/>
  <c r="H462" i="69"/>
  <c r="G462" i="69"/>
  <c r="G461" i="69" s="1"/>
  <c r="H461" i="69"/>
  <c r="I460" i="69"/>
  <c r="I459" i="69"/>
  <c r="H458" i="69"/>
  <c r="G458" i="69"/>
  <c r="G457" i="69" s="1"/>
  <c r="H457" i="69"/>
  <c r="H456" i="69" s="1"/>
  <c r="I455" i="69"/>
  <c r="I454" i="69"/>
  <c r="I453" i="69"/>
  <c r="I451" i="69"/>
  <c r="I450" i="69"/>
  <c r="H449" i="69"/>
  <c r="G449" i="69"/>
  <c r="G446" i="69" s="1"/>
  <c r="I448" i="69"/>
  <c r="I447" i="69" s="1"/>
  <c r="H447" i="69"/>
  <c r="G447" i="69"/>
  <c r="I432" i="69"/>
  <c r="I431" i="69"/>
  <c r="I430" i="69"/>
  <c r="H429" i="69"/>
  <c r="G429" i="69"/>
  <c r="I428" i="69"/>
  <c r="I427" i="69"/>
  <c r="I426" i="69"/>
  <c r="I425" i="69"/>
  <c r="I424" i="69"/>
  <c r="H422" i="69"/>
  <c r="H420" i="69"/>
  <c r="I418" i="69"/>
  <c r="I417" i="69"/>
  <c r="H416" i="69"/>
  <c r="H415" i="69"/>
  <c r="I415" i="69" s="1"/>
  <c r="I414" i="69"/>
  <c r="I413" i="69"/>
  <c r="I412" i="69"/>
  <c r="I411" i="69"/>
  <c r="I410" i="69"/>
  <c r="H409" i="69"/>
  <c r="H408" i="69" s="1"/>
  <c r="H407" i="69" s="1"/>
  <c r="I406" i="69"/>
  <c r="I405" i="69"/>
  <c r="I404" i="69"/>
  <c r="I403" i="69"/>
  <c r="H402" i="69"/>
  <c r="I402" i="69" s="1"/>
  <c r="H401" i="69"/>
  <c r="G401" i="69"/>
  <c r="I400" i="69"/>
  <c r="I399" i="69"/>
  <c r="H398" i="69"/>
  <c r="G398" i="69"/>
  <c r="I397" i="69"/>
  <c r="I392" i="69"/>
  <c r="I391" i="69" s="1"/>
  <c r="H391" i="69"/>
  <c r="G391" i="69"/>
  <c r="I390" i="69"/>
  <c r="I389" i="69" s="1"/>
  <c r="H389" i="69"/>
  <c r="G389" i="69"/>
  <c r="I386" i="69"/>
  <c r="H385" i="69"/>
  <c r="G385" i="69"/>
  <c r="H384" i="69"/>
  <c r="G384" i="69"/>
  <c r="I383" i="69"/>
  <c r="I382" i="69" s="1"/>
  <c r="H382" i="69"/>
  <c r="G382" i="69"/>
  <c r="I381" i="69"/>
  <c r="I378" i="69"/>
  <c r="I379" i="69"/>
  <c r="I380" i="69"/>
  <c r="I377" i="69"/>
  <c r="I376" i="69"/>
  <c r="H375" i="69"/>
  <c r="G375" i="69"/>
  <c r="H374" i="69"/>
  <c r="H373" i="69" s="1"/>
  <c r="H372" i="69" s="1"/>
  <c r="G373" i="69"/>
  <c r="I371" i="69"/>
  <c r="I370" i="69" s="1"/>
  <c r="I369" i="69" s="1"/>
  <c r="H370" i="69"/>
  <c r="H369" i="69" s="1"/>
  <c r="G370" i="69"/>
  <c r="G369" i="69" s="1"/>
  <c r="I363" i="69"/>
  <c r="I362" i="69" s="1"/>
  <c r="H362" i="69"/>
  <c r="G362" i="69"/>
  <c r="I361" i="69"/>
  <c r="I360" i="69"/>
  <c r="I359" i="69"/>
  <c r="I358" i="69"/>
  <c r="I357" i="69"/>
  <c r="H356" i="69"/>
  <c r="G356" i="69"/>
  <c r="I353" i="69"/>
  <c r="I352" i="69"/>
  <c r="I351" i="69"/>
  <c r="I350" i="69"/>
  <c r="I349" i="69"/>
  <c r="I348" i="69"/>
  <c r="I347" i="69"/>
  <c r="I337" i="69"/>
  <c r="I336" i="69" s="1"/>
  <c r="I335" i="69"/>
  <c r="I334" i="69"/>
  <c r="I333" i="69"/>
  <c r="I332" i="69"/>
  <c r="I331" i="69"/>
  <c r="H330" i="69"/>
  <c r="G330" i="69"/>
  <c r="G329" i="69" s="1"/>
  <c r="I326" i="69"/>
  <c r="I325" i="69" s="1"/>
  <c r="H325" i="69"/>
  <c r="G325" i="69"/>
  <c r="I324" i="69"/>
  <c r="I323" i="69"/>
  <c r="I322" i="69"/>
  <c r="I320" i="69"/>
  <c r="H319" i="69"/>
  <c r="G319" i="69"/>
  <c r="G318" i="69" s="1"/>
  <c r="H318" i="69"/>
  <c r="H317" i="69" s="1"/>
  <c r="I316" i="69"/>
  <c r="I315" i="69" s="1"/>
  <c r="H315" i="69"/>
  <c r="G315" i="69"/>
  <c r="I314" i="69"/>
  <c r="I311" i="69"/>
  <c r="I312" i="69"/>
  <c r="I313" i="69"/>
  <c r="I310" i="69"/>
  <c r="I309" i="69"/>
  <c r="H308" i="69"/>
  <c r="G308" i="69"/>
  <c r="I307" i="69"/>
  <c r="I306" i="69" s="1"/>
  <c r="H306" i="69"/>
  <c r="G306" i="69"/>
  <c r="I305" i="69"/>
  <c r="I304" i="69" s="1"/>
  <c r="H304" i="69"/>
  <c r="G304" i="69"/>
  <c r="I303" i="69"/>
  <c r="I302" i="69" s="1"/>
  <c r="H302" i="69"/>
  <c r="G302" i="69"/>
  <c r="I299" i="69"/>
  <c r="I298" i="69"/>
  <c r="I297" i="69"/>
  <c r="I296" i="69"/>
  <c r="I295" i="69"/>
  <c r="H294" i="69"/>
  <c r="H293" i="69" s="1"/>
  <c r="H292" i="69" s="1"/>
  <c r="G294" i="69"/>
  <c r="G293" i="69" s="1"/>
  <c r="I291" i="69"/>
  <c r="I290" i="69"/>
  <c r="I289" i="69"/>
  <c r="I288" i="69"/>
  <c r="H287" i="69"/>
  <c r="G287" i="69"/>
  <c r="I286" i="69"/>
  <c r="I285" i="69"/>
  <c r="I284" i="69"/>
  <c r="I283" i="69"/>
  <c r="I282" i="69"/>
  <c r="H281" i="69"/>
  <c r="G281" i="69"/>
  <c r="G280" i="69" s="1"/>
  <c r="I277" i="69"/>
  <c r="I276" i="69"/>
  <c r="I275" i="69"/>
  <c r="I273" i="69"/>
  <c r="I272" i="69"/>
  <c r="I271" i="69"/>
  <c r="I270" i="69"/>
  <c r="H268" i="69"/>
  <c r="G269" i="69"/>
  <c r="G268" i="69" s="1"/>
  <c r="I267" i="69"/>
  <c r="I265" i="69"/>
  <c r="I264" i="69"/>
  <c r="G263" i="69"/>
  <c r="G262" i="69" s="1"/>
  <c r="H262" i="69"/>
  <c r="I261" i="69"/>
  <c r="I260" i="69"/>
  <c r="H259" i="69"/>
  <c r="G259" i="69"/>
  <c r="I258" i="69"/>
  <c r="I257" i="69"/>
  <c r="I256" i="69"/>
  <c r="I255" i="69"/>
  <c r="I254" i="69"/>
  <c r="I253" i="69"/>
  <c r="I252" i="69"/>
  <c r="H251" i="69"/>
  <c r="G251" i="69"/>
  <c r="I248" i="69"/>
  <c r="I247" i="69"/>
  <c r="I246" i="69"/>
  <c r="I245" i="69"/>
  <c r="I244" i="69"/>
  <c r="I243" i="69"/>
  <c r="I242" i="69"/>
  <c r="I241" i="69"/>
  <c r="H240" i="69"/>
  <c r="G240" i="69"/>
  <c r="G239" i="69" s="1"/>
  <c r="H239" i="69"/>
  <c r="I238" i="69"/>
  <c r="I237" i="69" s="1"/>
  <c r="H237" i="69"/>
  <c r="G237" i="69"/>
  <c r="H236" i="69"/>
  <c r="H235" i="69"/>
  <c r="H234" i="69" s="1"/>
  <c r="H233" i="69"/>
  <c r="G233" i="69"/>
  <c r="H232" i="69"/>
  <c r="G232" i="69"/>
  <c r="H231" i="69"/>
  <c r="G231" i="69"/>
  <c r="H230" i="69"/>
  <c r="G230" i="69"/>
  <c r="H229" i="69"/>
  <c r="G229" i="69"/>
  <c r="H228" i="69"/>
  <c r="G228" i="69"/>
  <c r="I227" i="69"/>
  <c r="H226" i="69"/>
  <c r="H224" i="69" s="1"/>
  <c r="H223" i="69" s="1"/>
  <c r="I225" i="69"/>
  <c r="G224" i="69"/>
  <c r="G223" i="69" s="1"/>
  <c r="I222" i="69"/>
  <c r="I221" i="69"/>
  <c r="I220" i="69"/>
  <c r="H219" i="69"/>
  <c r="G219" i="69"/>
  <c r="G218" i="69" s="1"/>
  <c r="H218" i="69"/>
  <c r="I215" i="69"/>
  <c r="I214" i="69" s="1"/>
  <c r="I213" i="69" s="1"/>
  <c r="H214" i="69"/>
  <c r="G214" i="69"/>
  <c r="H213" i="69"/>
  <c r="G213" i="69"/>
  <c r="I212" i="69"/>
  <c r="I211" i="69" s="1"/>
  <c r="I210" i="69" s="1"/>
  <c r="H211" i="69"/>
  <c r="G211" i="69"/>
  <c r="H210" i="69"/>
  <c r="G210" i="69"/>
  <c r="I209" i="69"/>
  <c r="I208" i="69" s="1"/>
  <c r="I207" i="69" s="1"/>
  <c r="G208" i="69"/>
  <c r="G207" i="69" s="1"/>
  <c r="I205" i="69"/>
  <c r="I204" i="69"/>
  <c r="G203" i="69"/>
  <c r="H202" i="69"/>
  <c r="G202" i="69"/>
  <c r="H201" i="69"/>
  <c r="I200" i="69"/>
  <c r="I199" i="69" s="1"/>
  <c r="I198" i="69" s="1"/>
  <c r="G199" i="69"/>
  <c r="G198" i="69" s="1"/>
  <c r="H198" i="69"/>
  <c r="I197" i="69"/>
  <c r="I196" i="69"/>
  <c r="I195" i="69"/>
  <c r="I194" i="69"/>
  <c r="I193" i="69"/>
  <c r="I192" i="69"/>
  <c r="I191" i="69"/>
  <c r="I190" i="69"/>
  <c r="I189" i="69"/>
  <c r="H187" i="69"/>
  <c r="G188" i="69"/>
  <c r="G187" i="69" s="1"/>
  <c r="I186" i="69"/>
  <c r="I185" i="69" s="1"/>
  <c r="H184" i="69"/>
  <c r="G184" i="69"/>
  <c r="I182" i="69"/>
  <c r="I181" i="69" s="1"/>
  <c r="I180" i="69" s="1"/>
  <c r="H181" i="69"/>
  <c r="G181" i="69"/>
  <c r="G180" i="69" s="1"/>
  <c r="H180" i="69"/>
  <c r="I179" i="69"/>
  <c r="I178" i="69" s="1"/>
  <c r="I177" i="69" s="1"/>
  <c r="H178" i="69"/>
  <c r="H177" i="69" s="1"/>
  <c r="G178" i="69"/>
  <c r="G177" i="69" s="1"/>
  <c r="I176" i="69"/>
  <c r="I175" i="69"/>
  <c r="I174" i="69"/>
  <c r="H173" i="69"/>
  <c r="H172" i="69"/>
  <c r="G172" i="69"/>
  <c r="I169" i="69"/>
  <c r="I168" i="69" s="1"/>
  <c r="I167" i="69" s="1"/>
  <c r="H168" i="69"/>
  <c r="H167" i="69" s="1"/>
  <c r="G168" i="69"/>
  <c r="G167" i="69" s="1"/>
  <c r="I165" i="69"/>
  <c r="I164" i="69"/>
  <c r="I163" i="69"/>
  <c r="I162" i="69"/>
  <c r="H161" i="69"/>
  <c r="G161" i="69"/>
  <c r="I160" i="69"/>
  <c r="I159" i="69"/>
  <c r="I158" i="69"/>
  <c r="I157" i="69"/>
  <c r="I156" i="69"/>
  <c r="I155" i="69"/>
  <c r="I154" i="69"/>
  <c r="I153" i="69"/>
  <c r="H150" i="69"/>
  <c r="I149" i="69"/>
  <c r="H148" i="69"/>
  <c r="H146" i="69"/>
  <c r="H145" i="69"/>
  <c r="I145" i="69" s="1"/>
  <c r="H144" i="69"/>
  <c r="I143" i="69"/>
  <c r="I142" i="69"/>
  <c r="H141" i="69"/>
  <c r="I140" i="69"/>
  <c r="I139" i="69"/>
  <c r="I138" i="69"/>
  <c r="I137" i="69"/>
  <c r="I135" i="69"/>
  <c r="I134" i="69"/>
  <c r="I133" i="69"/>
  <c r="H132" i="69"/>
  <c r="H129" i="69" s="1"/>
  <c r="G132" i="69"/>
  <c r="I131" i="69"/>
  <c r="I130" i="69"/>
  <c r="H128" i="69"/>
  <c r="H127" i="69"/>
  <c r="I125" i="69"/>
  <c r="I122" i="69"/>
  <c r="I123" i="69"/>
  <c r="I124" i="69"/>
  <c r="I121" i="69"/>
  <c r="I120" i="69"/>
  <c r="H119" i="69"/>
  <c r="I118" i="69"/>
  <c r="I117" i="69" s="1"/>
  <c r="H117" i="69"/>
  <c r="I114" i="69"/>
  <c r="I113" i="69" s="1"/>
  <c r="I112" i="69" s="1"/>
  <c r="I111" i="69" s="1"/>
  <c r="H113" i="69"/>
  <c r="H112" i="69" s="1"/>
  <c r="H111" i="69" s="1"/>
  <c r="G113" i="69"/>
  <c r="G112" i="69" s="1"/>
  <c r="H109" i="69"/>
  <c r="H108" i="69" s="1"/>
  <c r="H107" i="69" s="1"/>
  <c r="I106" i="69"/>
  <c r="H105" i="69"/>
  <c r="G105" i="69"/>
  <c r="I104" i="69"/>
  <c r="I103" i="69"/>
  <c r="I102" i="69"/>
  <c r="I101" i="69"/>
  <c r="I100" i="69"/>
  <c r="I99" i="69"/>
  <c r="I98" i="69"/>
  <c r="I97" i="69"/>
  <c r="I96" i="69"/>
  <c r="I95" i="69"/>
  <c r="H94" i="69"/>
  <c r="H93" i="69" s="1"/>
  <c r="I92" i="69"/>
  <c r="I91" i="69"/>
  <c r="I90" i="69"/>
  <c r="I89" i="69"/>
  <c r="H88" i="69"/>
  <c r="H87" i="69" s="1"/>
  <c r="G88" i="69"/>
  <c r="G87" i="69" s="1"/>
  <c r="I85" i="69"/>
  <c r="H84" i="69"/>
  <c r="G84" i="69"/>
  <c r="H83" i="69"/>
  <c r="I83" i="69" s="1"/>
  <c r="H82" i="69"/>
  <c r="H81" i="69" s="1"/>
  <c r="H80" i="69"/>
  <c r="H79" i="69" s="1"/>
  <c r="G79" i="69"/>
  <c r="I75" i="69"/>
  <c r="I78" i="69"/>
  <c r="I76" i="69"/>
  <c r="I77" i="69"/>
  <c r="I74" i="69"/>
  <c r="I73" i="69"/>
  <c r="H72" i="69"/>
  <c r="G72" i="69"/>
  <c r="I71" i="69"/>
  <c r="I70" i="69"/>
  <c r="I69" i="69"/>
  <c r="H68" i="69"/>
  <c r="G68" i="69"/>
  <c r="I64" i="69"/>
  <c r="I67" i="69"/>
  <c r="I65" i="69"/>
  <c r="I66" i="69"/>
  <c r="I63" i="69"/>
  <c r="I62" i="69"/>
  <c r="G61" i="69"/>
  <c r="H60" i="69"/>
  <c r="H58" i="69" s="1"/>
  <c r="H57" i="69" s="1"/>
  <c r="H56" i="69" s="1"/>
  <c r="I59" i="69"/>
  <c r="I55" i="69"/>
  <c r="I54" i="69"/>
  <c r="I53" i="69"/>
  <c r="I52" i="69"/>
  <c r="H51" i="69"/>
  <c r="G51" i="69"/>
  <c r="I50" i="69"/>
  <c r="I49" i="69"/>
  <c r="I48" i="69"/>
  <c r="I47" i="69"/>
  <c r="I46" i="69"/>
  <c r="I45" i="69"/>
  <c r="I44" i="69"/>
  <c r="I43" i="69"/>
  <c r="I42" i="69"/>
  <c r="I41" i="69"/>
  <c r="I40" i="69"/>
  <c r="I39" i="69"/>
  <c r="I38" i="69"/>
  <c r="I37" i="69"/>
  <c r="H36" i="69"/>
  <c r="G36" i="69"/>
  <c r="I33" i="69"/>
  <c r="I32" i="69"/>
  <c r="I31" i="69"/>
  <c r="I30" i="69"/>
  <c r="H29" i="69"/>
  <c r="G29" i="69"/>
  <c r="I28" i="69"/>
  <c r="I27" i="69"/>
  <c r="H26" i="69"/>
  <c r="G26" i="69"/>
  <c r="I25" i="69"/>
  <c r="I24" i="69"/>
  <c r="I23" i="69"/>
  <c r="I22" i="69"/>
  <c r="I21" i="69"/>
  <c r="I20" i="69"/>
  <c r="I19" i="69"/>
  <c r="I18" i="69"/>
  <c r="I17" i="69"/>
  <c r="I16" i="69"/>
  <c r="I15" i="69"/>
  <c r="I14" i="69"/>
  <c r="I13" i="69"/>
  <c r="H12" i="69"/>
  <c r="G8" i="69"/>
  <c r="I11" i="69"/>
  <c r="I10" i="69"/>
  <c r="I9" i="69"/>
  <c r="H8" i="69"/>
  <c r="H7" i="69" s="1"/>
  <c r="H6" i="69" s="1"/>
  <c r="H446" i="69" l="1"/>
  <c r="G372" i="69"/>
  <c r="H126" i="69"/>
  <c r="I458" i="69"/>
  <c r="I457" i="69" s="1"/>
  <c r="I456" i="69" s="1"/>
  <c r="I449" i="69"/>
  <c r="I446" i="69" s="1"/>
  <c r="G35" i="69"/>
  <c r="G7" i="69"/>
  <c r="I471" i="69"/>
  <c r="I470" i="69" s="1"/>
  <c r="I469" i="69" s="1"/>
  <c r="I468" i="69" s="1"/>
  <c r="G409" i="69"/>
  <c r="G408" i="69" s="1"/>
  <c r="H171" i="69"/>
  <c r="H170" i="69" s="1"/>
  <c r="H166" i="69" s="1"/>
  <c r="I219" i="69"/>
  <c r="I218" i="69" s="1"/>
  <c r="G301" i="69"/>
  <c r="I230" i="69"/>
  <c r="I229" i="69" s="1"/>
  <c r="I228" i="69" s="1"/>
  <c r="H250" i="69"/>
  <c r="H249" i="69" s="1"/>
  <c r="I84" i="69"/>
  <c r="I82" i="69" s="1"/>
  <c r="I81" i="69" s="1"/>
  <c r="I105" i="69"/>
  <c r="G355" i="69"/>
  <c r="I356" i="69"/>
  <c r="I355" i="69" s="1"/>
  <c r="I72" i="69"/>
  <c r="I94" i="69"/>
  <c r="I93" i="69" s="1"/>
  <c r="I161" i="69"/>
  <c r="H396" i="69"/>
  <c r="H395" i="69" s="1"/>
  <c r="H394" i="69" s="1"/>
  <c r="H280" i="69"/>
  <c r="H279" i="69" s="1"/>
  <c r="I416" i="69"/>
  <c r="I26" i="69"/>
  <c r="I29" i="69"/>
  <c r="I51" i="69"/>
  <c r="I60" i="69"/>
  <c r="I61" i="69"/>
  <c r="I127" i="69"/>
  <c r="I128" i="69"/>
  <c r="I132" i="69"/>
  <c r="I141" i="69"/>
  <c r="I144" i="69"/>
  <c r="I146" i="69"/>
  <c r="I203" i="69"/>
  <c r="I202" i="69" s="1"/>
  <c r="I201" i="69" s="1"/>
  <c r="I236" i="69"/>
  <c r="I235" i="69" s="1"/>
  <c r="I234" i="69" s="1"/>
  <c r="I240" i="69"/>
  <c r="I239" i="69" s="1"/>
  <c r="G250" i="69"/>
  <c r="I287" i="69"/>
  <c r="H301" i="69"/>
  <c r="H300" i="69" s="1"/>
  <c r="I319" i="69"/>
  <c r="I318" i="69" s="1"/>
  <c r="I398" i="69"/>
  <c r="I401" i="69"/>
  <c r="G388" i="69"/>
  <c r="I263" i="69"/>
  <c r="I262" i="69" s="1"/>
  <c r="I420" i="69"/>
  <c r="I172" i="69"/>
  <c r="H208" i="69"/>
  <c r="H207" i="69" s="1"/>
  <c r="H206" i="69" s="1"/>
  <c r="I281" i="69"/>
  <c r="G183" i="69"/>
  <c r="H183" i="69"/>
  <c r="I188" i="69"/>
  <c r="I187" i="69" s="1"/>
  <c r="I148" i="69"/>
  <c r="I294" i="69"/>
  <c r="I293" i="69" s="1"/>
  <c r="I292" i="69" s="1"/>
  <c r="I308" i="69"/>
  <c r="I300" i="69" s="1"/>
  <c r="I12" i="69"/>
  <c r="I109" i="69"/>
  <c r="I108" i="69" s="1"/>
  <c r="I107" i="69" s="1"/>
  <c r="G171" i="69"/>
  <c r="G170" i="69" s="1"/>
  <c r="I233" i="69"/>
  <c r="I232" i="69" s="1"/>
  <c r="I231" i="69" s="1"/>
  <c r="I251" i="69"/>
  <c r="I259" i="69"/>
  <c r="I269" i="69"/>
  <c r="I268" i="69" s="1"/>
  <c r="I330" i="69"/>
  <c r="I375" i="69"/>
  <c r="I385" i="69"/>
  <c r="I384" i="69" s="1"/>
  <c r="I388" i="69"/>
  <c r="I387" i="69" s="1"/>
  <c r="H388" i="69"/>
  <c r="H387" i="69" s="1"/>
  <c r="I429" i="69"/>
  <c r="G58" i="69"/>
  <c r="G57" i="69" s="1"/>
  <c r="I68" i="69"/>
  <c r="I80" i="69"/>
  <c r="I79" i="69" s="1"/>
  <c r="G108" i="69"/>
  <c r="G107" i="69" s="1"/>
  <c r="H116" i="69"/>
  <c r="H115" i="69" s="1"/>
  <c r="I119" i="69"/>
  <c r="I150" i="69"/>
  <c r="I129" i="69" s="1"/>
  <c r="I173" i="69"/>
  <c r="I171" i="69" s="1"/>
  <c r="I170" i="69" s="1"/>
  <c r="I166" i="69" s="1"/>
  <c r="I184" i="69"/>
  <c r="H217" i="69"/>
  <c r="H216" i="69" s="1"/>
  <c r="H355" i="69"/>
  <c r="H328" i="69" s="1"/>
  <c r="H327" i="69" s="1"/>
  <c r="I374" i="69"/>
  <c r="I373" i="69" s="1"/>
  <c r="G396" i="69"/>
  <c r="G395" i="69" s="1"/>
  <c r="I206" i="69"/>
  <c r="I226" i="69"/>
  <c r="I224" i="69" s="1"/>
  <c r="I223" i="69" s="1"/>
  <c r="I422" i="69"/>
  <c r="I88" i="69"/>
  <c r="I87" i="69" s="1"/>
  <c r="H35" i="69"/>
  <c r="H34" i="69" s="1"/>
  <c r="I36" i="69"/>
  <c r="I8" i="69"/>
  <c r="I58" i="69"/>
  <c r="H86" i="69"/>
  <c r="H5" i="69" s="1"/>
  <c r="G82" i="69"/>
  <c r="G81" i="69" s="1"/>
  <c r="G94" i="69"/>
  <c r="G93" i="69" s="1"/>
  <c r="G129" i="69"/>
  <c r="H368" i="69"/>
  <c r="G235" i="69"/>
  <c r="G234" i="69" s="1"/>
  <c r="H393" i="69" l="1"/>
  <c r="I86" i="69"/>
  <c r="I372" i="69"/>
  <c r="I368" i="69" s="1"/>
  <c r="I280" i="69"/>
  <c r="I279" i="69" s="1"/>
  <c r="I396" i="69"/>
  <c r="I395" i="69" s="1"/>
  <c r="I394" i="69" s="1"/>
  <c r="H278" i="69"/>
  <c r="G116" i="69"/>
  <c r="I7" i="69"/>
  <c r="I6" i="69" s="1"/>
  <c r="I409" i="69"/>
  <c r="I408" i="69" s="1"/>
  <c r="I407" i="69" s="1"/>
  <c r="I393" i="69" s="1"/>
  <c r="I217" i="69"/>
  <c r="I56" i="69"/>
  <c r="I327" i="69"/>
  <c r="I250" i="69"/>
  <c r="I249" i="69" s="1"/>
  <c r="I126" i="69"/>
  <c r="I116" i="69" s="1"/>
  <c r="I115" i="69" s="1"/>
  <c r="I278" i="69"/>
  <c r="H110" i="69"/>
  <c r="I183" i="69"/>
  <c r="I35" i="69"/>
  <c r="I34" i="69" s="1"/>
  <c r="I482" i="69" l="1"/>
  <c r="I216" i="69"/>
  <c r="I5" i="69"/>
  <c r="G482" i="69"/>
  <c r="I110" i="69"/>
  <c r="H482" i="69"/>
  <c r="H141" i="68"/>
  <c r="H39" i="68" l="1"/>
  <c r="I39" i="68" s="1"/>
  <c r="I38" i="68" s="1"/>
  <c r="I33" i="68"/>
  <c r="I32" i="68"/>
  <c r="H38" i="68"/>
  <c r="H8" i="68" l="1"/>
  <c r="H7" i="68" s="1"/>
  <c r="H6" i="68" s="1"/>
  <c r="I144" i="68" l="1"/>
  <c r="I142" i="68" s="1"/>
  <c r="G142" i="68"/>
  <c r="H142" i="68"/>
  <c r="H138" i="68" s="1"/>
  <c r="H137" i="68" s="1"/>
  <c r="I141" i="68"/>
  <c r="I140" i="68" s="1"/>
  <c r="I139" i="68" s="1"/>
  <c r="H140" i="68"/>
  <c r="G140" i="68"/>
  <c r="G139" i="68" s="1"/>
  <c r="H139" i="68"/>
  <c r="I136" i="68"/>
  <c r="I135" i="68"/>
  <c r="I134" i="68"/>
  <c r="I133" i="68"/>
  <c r="H132" i="68"/>
  <c r="G132" i="68"/>
  <c r="I131" i="68"/>
  <c r="I130" i="68"/>
  <c r="I129" i="68"/>
  <c r="H128" i="68"/>
  <c r="G128" i="68"/>
  <c r="I126" i="68"/>
  <c r="I125" i="68"/>
  <c r="I124" i="68"/>
  <c r="I123" i="68"/>
  <c r="I122" i="68"/>
  <c r="I121" i="68"/>
  <c r="I120" i="68"/>
  <c r="I119" i="68"/>
  <c r="I118" i="68"/>
  <c r="G117" i="68"/>
  <c r="G116" i="68" s="1"/>
  <c r="H116" i="68"/>
  <c r="I114" i="68"/>
  <c r="I113" i="68"/>
  <c r="I112" i="68"/>
  <c r="I111" i="68"/>
  <c r="I110" i="68"/>
  <c r="I109" i="68"/>
  <c r="I108" i="68"/>
  <c r="I107" i="68"/>
  <c r="I106" i="68"/>
  <c r="I105" i="68"/>
  <c r="I104" i="68"/>
  <c r="I103" i="68"/>
  <c r="I102" i="68"/>
  <c r="I101" i="68"/>
  <c r="I100" i="68"/>
  <c r="I98" i="68"/>
  <c r="I97" i="68"/>
  <c r="H96" i="68"/>
  <c r="G96" i="68"/>
  <c r="I95" i="68"/>
  <c r="I94" i="68"/>
  <c r="H93" i="68"/>
  <c r="G93" i="68"/>
  <c r="I92" i="68"/>
  <c r="I90" i="68"/>
  <c r="I91" i="68"/>
  <c r="I89" i="68"/>
  <c r="I88" i="68"/>
  <c r="I87" i="68"/>
  <c r="I85" i="68"/>
  <c r="I84" i="68"/>
  <c r="I83" i="68"/>
  <c r="I82" i="68"/>
  <c r="I81" i="68"/>
  <c r="H80" i="68"/>
  <c r="G80" i="68"/>
  <c r="I79" i="68"/>
  <c r="I78" i="68"/>
  <c r="I77" i="68"/>
  <c r="I76" i="68"/>
  <c r="I75" i="68"/>
  <c r="I74" i="68"/>
  <c r="I73" i="68"/>
  <c r="I72" i="68"/>
  <c r="I71" i="68"/>
  <c r="I70" i="68"/>
  <c r="I69" i="68"/>
  <c r="I68" i="68"/>
  <c r="I67" i="68"/>
  <c r="I66" i="68"/>
  <c r="I65" i="68"/>
  <c r="H64" i="68"/>
  <c r="G64" i="68"/>
  <c r="G63" i="68" s="1"/>
  <c r="I62" i="68"/>
  <c r="I61" i="68"/>
  <c r="I60" i="68"/>
  <c r="I59" i="68"/>
  <c r="I58" i="68"/>
  <c r="H57" i="68"/>
  <c r="G57" i="68"/>
  <c r="I56" i="68"/>
  <c r="I55" i="68"/>
  <c r="I54" i="68"/>
  <c r="I53" i="68"/>
  <c r="I52" i="68"/>
  <c r="I51" i="68" s="1"/>
  <c r="H51" i="68"/>
  <c r="G51" i="68"/>
  <c r="I50" i="68"/>
  <c r="I49" i="68" s="1"/>
  <c r="H49" i="68"/>
  <c r="G49" i="68"/>
  <c r="H48" i="68"/>
  <c r="I45" i="68"/>
  <c r="I44" i="68" s="1"/>
  <c r="I43" i="68" s="1"/>
  <c r="H44" i="68"/>
  <c r="H43" i="68" s="1"/>
  <c r="G44" i="68"/>
  <c r="G43" i="68" s="1"/>
  <c r="I42" i="68"/>
  <c r="I41" i="68" s="1"/>
  <c r="I40" i="68" s="1"/>
  <c r="H41" i="68"/>
  <c r="G41" i="68"/>
  <c r="H40" i="68"/>
  <c r="G40" i="68"/>
  <c r="I37" i="68"/>
  <c r="I36" i="68" s="1"/>
  <c r="H36" i="68"/>
  <c r="G36" i="68"/>
  <c r="H35" i="68"/>
  <c r="I31" i="68"/>
  <c r="I30" i="68"/>
  <c r="I29" i="68"/>
  <c r="I28" i="68"/>
  <c r="I27" i="68"/>
  <c r="I26" i="68"/>
  <c r="I25" i="68"/>
  <c r="I24" i="68"/>
  <c r="I23" i="68"/>
  <c r="I22" i="68"/>
  <c r="I21" i="68"/>
  <c r="I20" i="68"/>
  <c r="I19" i="68"/>
  <c r="I18" i="68"/>
  <c r="I17" i="68"/>
  <c r="I16" i="68"/>
  <c r="I15" i="68"/>
  <c r="I14" i="68"/>
  <c r="H13" i="68"/>
  <c r="H12" i="68" s="1"/>
  <c r="H11" i="68" s="1"/>
  <c r="G13" i="68"/>
  <c r="G12" i="68" s="1"/>
  <c r="G11" i="68" s="1"/>
  <c r="I10" i="68"/>
  <c r="I9" i="68"/>
  <c r="G8" i="68"/>
  <c r="G7" i="68" s="1"/>
  <c r="G6" i="68" s="1"/>
  <c r="I99" i="68" l="1"/>
  <c r="H47" i="68"/>
  <c r="I8" i="68"/>
  <c r="I7" i="68" s="1"/>
  <c r="I6" i="68" s="1"/>
  <c r="I57" i="68"/>
  <c r="I96" i="68"/>
  <c r="I128" i="68"/>
  <c r="H127" i="68"/>
  <c r="G35" i="68"/>
  <c r="G34" i="68" s="1"/>
  <c r="G5" i="68" s="1"/>
  <c r="G127" i="68"/>
  <c r="I117" i="68"/>
  <c r="I116" i="68" s="1"/>
  <c r="H115" i="68"/>
  <c r="G138" i="68"/>
  <c r="G137" i="68" s="1"/>
  <c r="B6" i="59" s="1"/>
  <c r="D6" i="59" s="1"/>
  <c r="I138" i="68"/>
  <c r="I137" i="68" s="1"/>
  <c r="I132" i="68"/>
  <c r="I127" i="68" s="1"/>
  <c r="G115" i="68"/>
  <c r="I93" i="68"/>
  <c r="I64" i="68"/>
  <c r="G48" i="68"/>
  <c r="I48" i="68"/>
  <c r="H34" i="68"/>
  <c r="H5" i="68" s="1"/>
  <c r="I13" i="68"/>
  <c r="I12" i="68" s="1"/>
  <c r="I11" i="68" s="1"/>
  <c r="I35" i="68"/>
  <c r="I34" i="68" s="1"/>
  <c r="I115" i="68" l="1"/>
  <c r="I63" i="68"/>
  <c r="I47" i="68" s="1"/>
  <c r="I46" i="68" s="1"/>
  <c r="H46" i="68"/>
  <c r="H146" i="68" s="1"/>
  <c r="G47" i="68"/>
  <c r="G46" i="68" s="1"/>
  <c r="G146" i="68" s="1"/>
  <c r="I5" i="68"/>
  <c r="H13" i="59"/>
  <c r="H12" i="59"/>
  <c r="H11" i="59"/>
  <c r="I146" i="68" l="1"/>
  <c r="C14" i="59"/>
  <c r="G14" i="59" l="1"/>
  <c r="B14" i="59"/>
  <c r="F14" i="59" l="1"/>
</calcChain>
</file>

<file path=xl/sharedStrings.xml><?xml version="1.0" encoding="utf-8"?>
<sst xmlns="http://schemas.openxmlformats.org/spreadsheetml/2006/main" count="1152" uniqueCount="717">
  <si>
    <t>각종 수수료</t>
    <phoneticPr fontId="3" type="noConversion"/>
  </si>
  <si>
    <t>1학년 수학여행비</t>
    <phoneticPr fontId="22" type="noConversion"/>
  </si>
  <si>
    <t>상담교사 국민연금부담금</t>
    <phoneticPr fontId="22" type="noConversion"/>
  </si>
  <si>
    <t>상담교사 건강보험부담금</t>
    <phoneticPr fontId="22" type="noConversion"/>
  </si>
  <si>
    <t>상담교사 고용보험부담금</t>
    <phoneticPr fontId="22" type="noConversion"/>
  </si>
  <si>
    <t>교육여건 개선</t>
    <phoneticPr fontId="22" type="noConversion"/>
  </si>
  <si>
    <t>학교 일반운영</t>
    <phoneticPr fontId="22" type="noConversion"/>
  </si>
  <si>
    <t>부서 기본 운영</t>
    <phoneticPr fontId="22" type="noConversion"/>
  </si>
  <si>
    <t>기관운영 업무추진비</t>
    <phoneticPr fontId="22" type="noConversion"/>
  </si>
  <si>
    <t>신원보증보험료</t>
    <phoneticPr fontId="22" type="noConversion"/>
  </si>
  <si>
    <t>무인경비시스템유지비</t>
    <phoneticPr fontId="22" type="noConversion"/>
  </si>
  <si>
    <t>우편요금</t>
    <phoneticPr fontId="22" type="noConversion"/>
  </si>
  <si>
    <t>과학과 운영비</t>
    <phoneticPr fontId="22" type="noConversion"/>
  </si>
  <si>
    <t>외국어과 운영비</t>
    <phoneticPr fontId="22" type="noConversion"/>
  </si>
  <si>
    <t>기숙사안전공제회비</t>
    <phoneticPr fontId="3" type="noConversion"/>
  </si>
  <si>
    <t>기자재 수선비</t>
    <phoneticPr fontId="22" type="noConversion"/>
  </si>
  <si>
    <t>소방시설 관리위탁비</t>
    <phoneticPr fontId="22" type="noConversion"/>
  </si>
  <si>
    <t>선택적 교육활동</t>
    <phoneticPr fontId="22" type="noConversion"/>
  </si>
  <si>
    <t>국제교육</t>
    <phoneticPr fontId="22" type="noConversion"/>
  </si>
  <si>
    <t>상담교사 인건비</t>
    <phoneticPr fontId="22" type="noConversion"/>
  </si>
  <si>
    <t>관   별</t>
    <phoneticPr fontId="3" type="noConversion"/>
  </si>
  <si>
    <t>1. 이전수입</t>
    <phoneticPr fontId="3" type="noConversion"/>
  </si>
  <si>
    <t>1. 인적자원운영</t>
    <phoneticPr fontId="3" type="noConversion"/>
  </si>
  <si>
    <t>2. 자체수입</t>
    <phoneticPr fontId="3" type="noConversion"/>
  </si>
  <si>
    <t>2. 학생복지 등</t>
    <phoneticPr fontId="3" type="noConversion"/>
  </si>
  <si>
    <t>3. 전년도이월금</t>
    <phoneticPr fontId="3" type="noConversion"/>
  </si>
  <si>
    <t>3. 기본적교육활동</t>
    <phoneticPr fontId="3" type="noConversion"/>
  </si>
  <si>
    <t>4. 선택적교육활동</t>
    <phoneticPr fontId="3" type="noConversion"/>
  </si>
  <si>
    <t>5. 교육활동지원</t>
    <phoneticPr fontId="3" type="noConversion"/>
  </si>
  <si>
    <t>6. 학교일반운영</t>
    <phoneticPr fontId="3" type="noConversion"/>
  </si>
  <si>
    <t>7. 학교시설확충</t>
    <phoneticPr fontId="3" type="noConversion"/>
  </si>
  <si>
    <t>8. 예비비 및 기타</t>
    <phoneticPr fontId="3" type="noConversion"/>
  </si>
  <si>
    <t>세 입 합 계</t>
    <phoneticPr fontId="3" type="noConversion"/>
  </si>
  <si>
    <t>세 출 합 계</t>
    <phoneticPr fontId="3" type="noConversion"/>
  </si>
  <si>
    <t>(단위:원)</t>
    <phoneticPr fontId="3" type="noConversion"/>
  </si>
  <si>
    <t>증 △ 감</t>
  </si>
  <si>
    <t>자체수입</t>
    <phoneticPr fontId="22" type="noConversion"/>
  </si>
  <si>
    <t>입학금</t>
    <phoneticPr fontId="22" type="noConversion"/>
  </si>
  <si>
    <t>수업료</t>
    <phoneticPr fontId="22" type="noConversion"/>
  </si>
  <si>
    <t>1분기 수업료</t>
    <phoneticPr fontId="22" type="noConversion"/>
  </si>
  <si>
    <t>2분기 수업료</t>
    <phoneticPr fontId="22" type="noConversion"/>
  </si>
  <si>
    <t>3분기 수업료</t>
    <phoneticPr fontId="22" type="noConversion"/>
  </si>
  <si>
    <t>4분기 수업료</t>
    <phoneticPr fontId="22" type="noConversion"/>
  </si>
  <si>
    <t>지난년도수업료</t>
    <phoneticPr fontId="3" type="noConversion"/>
  </si>
  <si>
    <t>학교운영지원비</t>
    <phoneticPr fontId="22" type="noConversion"/>
  </si>
  <si>
    <t>1분기 학교운영지원비</t>
    <phoneticPr fontId="22" type="noConversion"/>
  </si>
  <si>
    <t>2분기 학교운영지원비</t>
    <phoneticPr fontId="22" type="noConversion"/>
  </si>
  <si>
    <t>3분기 학교운영지원비</t>
    <phoneticPr fontId="22" type="noConversion"/>
  </si>
  <si>
    <t>4분기 학교운영지원비</t>
    <phoneticPr fontId="22" type="noConversion"/>
  </si>
  <si>
    <t>지난년도학교운영지원비</t>
    <phoneticPr fontId="3" type="noConversion"/>
  </si>
  <si>
    <t>모의고사비용</t>
    <phoneticPr fontId="3" type="noConversion"/>
  </si>
  <si>
    <t>합    계</t>
    <phoneticPr fontId="3" type="noConversion"/>
  </si>
  <si>
    <t>일반행정 관리</t>
    <phoneticPr fontId="22" type="noConversion"/>
  </si>
  <si>
    <t>시설물분 환경개선부담금</t>
    <phoneticPr fontId="22" type="noConversion"/>
  </si>
  <si>
    <t>폐기물 수거 비용</t>
    <phoneticPr fontId="22" type="noConversion"/>
  </si>
  <si>
    <t>건물청소용역비</t>
    <phoneticPr fontId="22" type="noConversion"/>
  </si>
  <si>
    <t>방화관리자 교육비</t>
    <phoneticPr fontId="22" type="noConversion"/>
  </si>
  <si>
    <t>건물재난 복구회비</t>
    <phoneticPr fontId="22" type="noConversion"/>
  </si>
  <si>
    <t>인터넷통신요금</t>
    <phoneticPr fontId="22" type="noConversion"/>
  </si>
  <si>
    <t>전화요금</t>
    <phoneticPr fontId="22" type="noConversion"/>
  </si>
  <si>
    <t>전기요금</t>
    <phoneticPr fontId="22" type="noConversion"/>
  </si>
  <si>
    <t>시설 장비 유지</t>
    <phoneticPr fontId="22" type="noConversion"/>
  </si>
  <si>
    <t>복사기 임대료</t>
    <phoneticPr fontId="3" type="noConversion"/>
  </si>
  <si>
    <t>카렌다 제작비</t>
    <phoneticPr fontId="3" type="noConversion"/>
  </si>
  <si>
    <t>직책급 업무추진비</t>
    <phoneticPr fontId="22" type="noConversion"/>
  </si>
  <si>
    <t>기간제근로자인건비</t>
    <phoneticPr fontId="22" type="noConversion"/>
  </si>
  <si>
    <t>학부모시험감독 다과비</t>
    <phoneticPr fontId="22" type="noConversion"/>
  </si>
  <si>
    <t>논문지도 운영경비</t>
    <phoneticPr fontId="22" type="noConversion"/>
  </si>
  <si>
    <t>해외대학 지원 프로그램사용료</t>
    <phoneticPr fontId="22" type="noConversion"/>
  </si>
  <si>
    <t>졸업생 추수지도 간담회비</t>
    <phoneticPr fontId="22" type="noConversion"/>
  </si>
  <si>
    <t>교무업무 운영</t>
    <phoneticPr fontId="22" type="noConversion"/>
  </si>
  <si>
    <t>교육활동 지원</t>
    <phoneticPr fontId="22" type="noConversion"/>
  </si>
  <si>
    <t>AP 시험 감독수당 및 운영비</t>
    <phoneticPr fontId="22" type="noConversion"/>
  </si>
  <si>
    <t>AP 시험비용</t>
    <phoneticPr fontId="22" type="noConversion"/>
  </si>
  <si>
    <t>방과후학교 운영</t>
    <phoneticPr fontId="22" type="noConversion"/>
  </si>
  <si>
    <t>동아리 지원비</t>
    <phoneticPr fontId="22" type="noConversion"/>
  </si>
  <si>
    <t>원어민강사 인건비</t>
    <phoneticPr fontId="3" type="noConversion"/>
  </si>
  <si>
    <t>예체능과 운영비</t>
    <phoneticPr fontId="22" type="noConversion"/>
  </si>
  <si>
    <t>사회과 운영비</t>
    <phoneticPr fontId="22" type="noConversion"/>
  </si>
  <si>
    <t>수학과 운영비</t>
    <phoneticPr fontId="22" type="noConversion"/>
  </si>
  <si>
    <t>영어과 운영비</t>
    <phoneticPr fontId="22" type="noConversion"/>
  </si>
  <si>
    <t>국어과 운영비</t>
    <phoneticPr fontId="22" type="noConversion"/>
  </si>
  <si>
    <t>CA 수업물품 구입</t>
    <phoneticPr fontId="22" type="noConversion"/>
  </si>
  <si>
    <t>기숙사 소독용역비</t>
    <phoneticPr fontId="22" type="noConversion"/>
  </si>
  <si>
    <t>일반수용비</t>
    <phoneticPr fontId="22" type="noConversion"/>
  </si>
  <si>
    <t>생활지도교사 인건비</t>
    <phoneticPr fontId="22" type="noConversion"/>
  </si>
  <si>
    <t>기간제근로자보수</t>
    <phoneticPr fontId="22" type="noConversion"/>
  </si>
  <si>
    <t>임시직 인건비</t>
    <phoneticPr fontId="22" type="noConversion"/>
  </si>
  <si>
    <t>법정부담금</t>
    <phoneticPr fontId="22" type="noConversion"/>
  </si>
  <si>
    <t>기타교과활동</t>
    <phoneticPr fontId="22" type="noConversion"/>
  </si>
  <si>
    <t>외국어교과활동</t>
    <phoneticPr fontId="22" type="noConversion"/>
  </si>
  <si>
    <t>상담실운영</t>
    <phoneticPr fontId="22" type="noConversion"/>
  </si>
  <si>
    <t>교육환경개선</t>
    <phoneticPr fontId="22" type="noConversion"/>
  </si>
  <si>
    <t>학교시설장비유지</t>
    <phoneticPr fontId="22" type="noConversion"/>
  </si>
  <si>
    <t>일반행정사무관리</t>
    <phoneticPr fontId="22" type="noConversion"/>
  </si>
  <si>
    <t>학교운영위원회운영</t>
    <phoneticPr fontId="22" type="noConversion"/>
  </si>
  <si>
    <t>기타직보수</t>
    <phoneticPr fontId="22" type="noConversion"/>
  </si>
  <si>
    <t>교육운영비</t>
    <phoneticPr fontId="22" type="noConversion"/>
  </si>
  <si>
    <t>계약직교원인건비</t>
    <phoneticPr fontId="3" type="noConversion"/>
  </si>
  <si>
    <t>입학식 및 졸업식 행사용품비</t>
    <phoneticPr fontId="22" type="noConversion"/>
  </si>
  <si>
    <t>입학식 및 졸업식 상품구입비</t>
    <phoneticPr fontId="22" type="noConversion"/>
  </si>
  <si>
    <t>학생회 지원비</t>
    <phoneticPr fontId="22" type="noConversion"/>
  </si>
  <si>
    <t>교외대회 참가 지원비</t>
    <phoneticPr fontId="22" type="noConversion"/>
  </si>
  <si>
    <t>학생 적성검사비</t>
    <phoneticPr fontId="22" type="noConversion"/>
  </si>
  <si>
    <t>성교육 및 특별초청 강사료</t>
    <phoneticPr fontId="22" type="noConversion"/>
  </si>
  <si>
    <t>수업용 소모품 구입비</t>
    <phoneticPr fontId="22" type="noConversion"/>
  </si>
  <si>
    <t>교육자료집 제작</t>
    <phoneticPr fontId="22" type="noConversion"/>
  </si>
  <si>
    <t>대학진학용 인쇄물 제작</t>
    <phoneticPr fontId="22" type="noConversion"/>
  </si>
  <si>
    <t>상담실 운영 경비</t>
    <phoneticPr fontId="22" type="noConversion"/>
  </si>
  <si>
    <t>집기비품 구입비</t>
    <phoneticPr fontId="3" type="noConversion"/>
  </si>
  <si>
    <t>유관기관 업무추진비</t>
    <phoneticPr fontId="3" type="noConversion"/>
  </si>
  <si>
    <t>기타제세</t>
    <phoneticPr fontId="3" type="noConversion"/>
  </si>
  <si>
    <t>교육비특별회계이전수입</t>
    <phoneticPr fontId="3" type="noConversion"/>
  </si>
  <si>
    <t>목적사업비보조금</t>
    <phoneticPr fontId="3" type="noConversion"/>
  </si>
  <si>
    <t>자기주도학습전형 운영경비</t>
    <phoneticPr fontId="3" type="noConversion"/>
  </si>
  <si>
    <t>교원자격 연수비</t>
    <phoneticPr fontId="3" type="noConversion"/>
  </si>
  <si>
    <t>영어토론대회 운영비</t>
    <phoneticPr fontId="3" type="noConversion"/>
  </si>
  <si>
    <t>학내망 유지보수비</t>
    <phoneticPr fontId="22" type="noConversion"/>
  </si>
  <si>
    <t>법률자문료</t>
    <phoneticPr fontId="22" type="noConversion"/>
  </si>
  <si>
    <t>세  입  예  산</t>
    <phoneticPr fontId="3" type="noConversion"/>
  </si>
  <si>
    <t>세  출  예  산</t>
    <phoneticPr fontId="3" type="noConversion"/>
  </si>
  <si>
    <t>성교육 및 외부명사 특강료</t>
    <phoneticPr fontId="3" type="noConversion"/>
  </si>
  <si>
    <t>기초지방자치단체전입금</t>
    <phoneticPr fontId="22" type="noConversion"/>
  </si>
  <si>
    <t>기타지방자치단체보조금</t>
    <phoneticPr fontId="22" type="noConversion"/>
  </si>
  <si>
    <t>학생 동아리 지원금</t>
    <phoneticPr fontId="3" type="noConversion"/>
  </si>
  <si>
    <t>교육비특별회계전입금수입</t>
    <phoneticPr fontId="3" type="noConversion"/>
  </si>
  <si>
    <t>사립학교보조금수입</t>
    <phoneticPr fontId="3" type="noConversion"/>
  </si>
  <si>
    <t>기타이전수입</t>
    <phoneticPr fontId="22" type="noConversion"/>
  </si>
  <si>
    <t>사학법인이전수입</t>
    <phoneticPr fontId="22" type="noConversion"/>
  </si>
  <si>
    <t>법인이전수입</t>
    <phoneticPr fontId="22" type="noConversion"/>
  </si>
  <si>
    <t>법인법정부담금</t>
    <phoneticPr fontId="22" type="noConversion"/>
  </si>
  <si>
    <t>학부모부담수입</t>
    <phoneticPr fontId="22" type="noConversion"/>
  </si>
  <si>
    <t>등록금</t>
    <phoneticPr fontId="22" type="noConversion"/>
  </si>
  <si>
    <t>수익자부담수입</t>
    <phoneticPr fontId="22" type="noConversion"/>
  </si>
  <si>
    <t>창의적 체험활동</t>
    <phoneticPr fontId="22" type="noConversion"/>
  </si>
  <si>
    <t>자율활동</t>
    <phoneticPr fontId="22" type="noConversion"/>
  </si>
  <si>
    <t>동아리활동</t>
    <phoneticPr fontId="22" type="noConversion"/>
  </si>
  <si>
    <t>진로활동</t>
    <phoneticPr fontId="22" type="noConversion"/>
  </si>
  <si>
    <t>영재교육운영</t>
    <phoneticPr fontId="22" type="noConversion"/>
  </si>
  <si>
    <t>교무학사운영</t>
    <phoneticPr fontId="22" type="noConversion"/>
  </si>
  <si>
    <t>학습지원실 운영</t>
    <phoneticPr fontId="22" type="noConversion"/>
  </si>
  <si>
    <t>정보화실운영</t>
    <phoneticPr fontId="22" type="noConversion"/>
  </si>
  <si>
    <t>학부모 지원</t>
    <phoneticPr fontId="22" type="noConversion"/>
  </si>
  <si>
    <t>학부모지원</t>
    <phoneticPr fontId="22" type="noConversion"/>
  </si>
  <si>
    <t>시설확충 및 개선</t>
  </si>
  <si>
    <t>기간제법정부담금</t>
    <phoneticPr fontId="22" type="noConversion"/>
  </si>
  <si>
    <t>일반운영비</t>
    <phoneticPr fontId="22" type="noConversion"/>
  </si>
  <si>
    <t>여비</t>
    <phoneticPr fontId="22" type="noConversion"/>
  </si>
  <si>
    <t>기타공공요금</t>
    <phoneticPr fontId="22" type="noConversion"/>
  </si>
  <si>
    <t>학생복지비</t>
    <phoneticPr fontId="22" type="noConversion"/>
  </si>
  <si>
    <t>원어민 귀국 항공료</t>
    <phoneticPr fontId="22" type="noConversion"/>
  </si>
  <si>
    <t>교육운영비</t>
    <phoneticPr fontId="3" type="noConversion"/>
  </si>
  <si>
    <t>비품구입비</t>
    <phoneticPr fontId="22" type="noConversion"/>
  </si>
  <si>
    <t>부서기본운영</t>
    <phoneticPr fontId="22" type="noConversion"/>
  </si>
  <si>
    <t>일반업무추진비</t>
    <phoneticPr fontId="22" type="noConversion"/>
  </si>
  <si>
    <t>상하수도료</t>
    <phoneticPr fontId="3" type="noConversion"/>
  </si>
  <si>
    <t>교무수첩 및 출석부 구입비</t>
    <phoneticPr fontId="22" type="noConversion"/>
  </si>
  <si>
    <t>내신 산출용 프로그램 구입</t>
    <phoneticPr fontId="22" type="noConversion"/>
  </si>
  <si>
    <t>축제 및 체육대회 행사비</t>
    <phoneticPr fontId="22" type="noConversion"/>
  </si>
  <si>
    <t>네트워크장비 유지보수비</t>
    <phoneticPr fontId="22" type="noConversion"/>
  </si>
  <si>
    <t>교원 채용 운영비</t>
    <phoneticPr fontId="3" type="noConversion"/>
  </si>
  <si>
    <t>보직교사 간담회비 외</t>
    <phoneticPr fontId="22" type="noConversion"/>
  </si>
  <si>
    <t>시설관리 소모품 구입비</t>
    <phoneticPr fontId="22" type="noConversion"/>
  </si>
  <si>
    <t>교구 구입 및 유지보수비</t>
    <phoneticPr fontId="22" type="noConversion"/>
  </si>
  <si>
    <t>건물외벽청소비</t>
    <phoneticPr fontId="3" type="noConversion"/>
  </si>
  <si>
    <t>상담교사 퇴직급여</t>
    <phoneticPr fontId="22" type="noConversion"/>
  </si>
  <si>
    <t>부서 소모품 구입비</t>
    <phoneticPr fontId="22" type="noConversion"/>
  </si>
  <si>
    <t>사서교사 인건비</t>
    <phoneticPr fontId="22" type="noConversion"/>
  </si>
  <si>
    <t>사서교사 국민연금부담금</t>
    <phoneticPr fontId="22" type="noConversion"/>
  </si>
  <si>
    <t>사서교사 건강보험부담금</t>
    <phoneticPr fontId="22" type="noConversion"/>
  </si>
  <si>
    <t>사서교사 고용보험부담금</t>
    <phoneticPr fontId="22" type="noConversion"/>
  </si>
  <si>
    <t>사서교사 노인장기요양보험료</t>
    <phoneticPr fontId="3" type="noConversion"/>
  </si>
  <si>
    <t>사서교사 퇴직급여</t>
    <phoneticPr fontId="22" type="noConversion"/>
  </si>
  <si>
    <t>보직교사 연수 운영</t>
    <phoneticPr fontId="3" type="noConversion"/>
  </si>
  <si>
    <t>학교운영비</t>
    <phoneticPr fontId="22" type="noConversion"/>
  </si>
  <si>
    <t>상수도 사용료</t>
    <phoneticPr fontId="22" type="noConversion"/>
  </si>
  <si>
    <t>교육청 지원금</t>
    <phoneticPr fontId="3" type="noConversion"/>
  </si>
  <si>
    <t>사회적배려대상자 지원프로그램</t>
    <phoneticPr fontId="3" type="noConversion"/>
  </si>
  <si>
    <t>시험비용</t>
    <phoneticPr fontId="3" type="noConversion"/>
  </si>
  <si>
    <t>2학년 현장체험학습비</t>
    <phoneticPr fontId="3" type="noConversion"/>
  </si>
  <si>
    <t>1학년 현장체험학습비</t>
    <phoneticPr fontId="3" type="noConversion"/>
  </si>
  <si>
    <t>민간이전수입</t>
    <phoneticPr fontId="22" type="noConversion"/>
  </si>
  <si>
    <t>기타지원금</t>
    <phoneticPr fontId="22" type="noConversion"/>
  </si>
  <si>
    <t>기타지원금</t>
    <phoneticPr fontId="3" type="noConversion"/>
  </si>
  <si>
    <t>장학금</t>
    <phoneticPr fontId="3" type="noConversion"/>
  </si>
  <si>
    <t>홈페이지서버 유지보수비</t>
    <phoneticPr fontId="3" type="noConversion"/>
  </si>
  <si>
    <t>영상정보처리장치 유지보수비</t>
    <phoneticPr fontId="3" type="noConversion"/>
  </si>
  <si>
    <t>방송실운영</t>
    <phoneticPr fontId="22" type="noConversion"/>
  </si>
  <si>
    <t>기자재 수선비</t>
    <phoneticPr fontId="3" type="noConversion"/>
  </si>
  <si>
    <t>방송,음향 장비 수선비</t>
    <phoneticPr fontId="3" type="noConversion"/>
  </si>
  <si>
    <t>일반수용비</t>
    <phoneticPr fontId="3" type="noConversion"/>
  </si>
  <si>
    <t>이월금</t>
    <phoneticPr fontId="22" type="noConversion"/>
  </si>
  <si>
    <t>이월사업비</t>
    <phoneticPr fontId="22" type="noConversion"/>
  </si>
  <si>
    <t>저소득층자녀학비</t>
    <phoneticPr fontId="3" type="noConversion"/>
  </si>
  <si>
    <t>사회적배려대상자학비</t>
    <phoneticPr fontId="3" type="noConversion"/>
  </si>
  <si>
    <t>사회적배려대상자기숙사비</t>
    <phoneticPr fontId="3" type="noConversion"/>
  </si>
  <si>
    <t>저소득층자녀중식비</t>
    <phoneticPr fontId="3" type="noConversion"/>
  </si>
  <si>
    <t>사회적배려대상자방과후교육비</t>
    <phoneticPr fontId="3" type="noConversion"/>
  </si>
  <si>
    <t>방과후학교자유수강권</t>
    <phoneticPr fontId="3" type="noConversion"/>
  </si>
  <si>
    <t>교과서무상지원</t>
    <phoneticPr fontId="3" type="noConversion"/>
  </si>
  <si>
    <t>사회적배려대상자체험학습비</t>
    <phoneticPr fontId="3" type="noConversion"/>
  </si>
  <si>
    <t>특수교육대상학생교통비</t>
    <phoneticPr fontId="3" type="noConversion"/>
  </si>
  <si>
    <t>교육시설개선사업보조금</t>
    <phoneticPr fontId="3" type="noConversion"/>
  </si>
  <si>
    <t>교육경비 지원금</t>
    <phoneticPr fontId="3" type="noConversion"/>
  </si>
  <si>
    <t>학교회계간이전수입</t>
    <phoneticPr fontId="22" type="noConversion"/>
  </si>
  <si>
    <t>학교발전기금전입금</t>
    <phoneticPr fontId="22" type="noConversion"/>
  </si>
  <si>
    <t>학교발전기금전입금</t>
    <phoneticPr fontId="3" type="noConversion"/>
  </si>
  <si>
    <t>교육시설용</t>
    <phoneticPr fontId="3" type="noConversion"/>
  </si>
  <si>
    <t>교육과정 외 자료집 제작비</t>
    <phoneticPr fontId="22" type="noConversion"/>
  </si>
  <si>
    <t>시간표작성 프로그램</t>
    <phoneticPr fontId="22" type="noConversion"/>
  </si>
  <si>
    <t>과정별 자사고 교육협력</t>
    <phoneticPr fontId="22" type="noConversion"/>
  </si>
  <si>
    <t>2014 본예산</t>
    <phoneticPr fontId="3" type="noConversion"/>
  </si>
  <si>
    <t>1학년 21명</t>
    <phoneticPr fontId="3" type="noConversion"/>
  </si>
  <si>
    <t>2학년 10명</t>
    <phoneticPr fontId="3" type="noConversion"/>
  </si>
  <si>
    <t>3학년 18명</t>
    <phoneticPr fontId="3" type="noConversion"/>
  </si>
  <si>
    <t>등록금 면제대상자 49명 (국가유공자자녀)</t>
    <phoneticPr fontId="3" type="noConversion"/>
  </si>
  <si>
    <t>(단위:원)</t>
    <phoneticPr fontId="3" type="noConversion"/>
  </si>
  <si>
    <t>과목</t>
    <phoneticPr fontId="3" type="noConversion"/>
  </si>
  <si>
    <t>산출내역</t>
    <phoneticPr fontId="3" type="noConversion"/>
  </si>
  <si>
    <t>적요</t>
    <phoneticPr fontId="3" type="noConversion"/>
  </si>
  <si>
    <t>장</t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</si>
  <si>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</si>
  <si>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</si>
  <si>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</si>
  <si>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원가통계비목</t>
    <phoneticPr fontId="3" type="noConversion"/>
  </si>
  <si>
    <t>이전수입</t>
    <phoneticPr fontId="22" type="noConversion"/>
  </si>
  <si>
    <t>지방자치단체이전수입</t>
    <phoneticPr fontId="22" type="noConversion"/>
  </si>
  <si>
    <t>비법정이전수입</t>
    <phoneticPr fontId="22" type="noConversion"/>
  </si>
  <si>
    <t>학생동아리(청소년예술제)</t>
    <phoneticPr fontId="3" type="noConversion"/>
  </si>
  <si>
    <t>학교체육활성화지원</t>
    <phoneticPr fontId="3" type="noConversion"/>
  </si>
  <si>
    <t>학부모회운영 지원</t>
    <phoneticPr fontId="3" type="noConversion"/>
  </si>
  <si>
    <t>다문화방과후프로그램지원비</t>
    <phoneticPr fontId="3" type="noConversion"/>
  </si>
  <si>
    <t>학생사회참여동아리운영</t>
    <phoneticPr fontId="3" type="noConversion"/>
  </si>
  <si>
    <t>학생자치법정운영비</t>
    <phoneticPr fontId="3" type="noConversion"/>
  </si>
  <si>
    <t>학생자치활동비지원</t>
    <phoneticPr fontId="3" type="noConversion"/>
  </si>
  <si>
    <t>진로교육 직업체험비</t>
    <phoneticPr fontId="3" type="noConversion"/>
  </si>
  <si>
    <t>인정교과서 지원</t>
    <phoneticPr fontId="3" type="noConversion"/>
  </si>
  <si>
    <t>외부장학금(삼성-열린)</t>
    <phoneticPr fontId="3" type="noConversion"/>
  </si>
  <si>
    <t>지난년도 이월금</t>
    <phoneticPr fontId="3" type="noConversion"/>
  </si>
  <si>
    <t>급식비</t>
    <phoneticPr fontId="22" type="noConversion"/>
  </si>
  <si>
    <t>3월 급식비</t>
    <phoneticPr fontId="22" type="noConversion"/>
  </si>
  <si>
    <t>4월 급식비</t>
    <phoneticPr fontId="3" type="noConversion"/>
  </si>
  <si>
    <t>5월 급식비</t>
    <phoneticPr fontId="3" type="noConversion"/>
  </si>
  <si>
    <t>6월 급식비</t>
    <phoneticPr fontId="3" type="noConversion"/>
  </si>
  <si>
    <t>7월 급식비</t>
    <phoneticPr fontId="3" type="noConversion"/>
  </si>
  <si>
    <t>여름방학 급식비</t>
    <phoneticPr fontId="3" type="noConversion"/>
  </si>
  <si>
    <t>8월 급식비</t>
    <phoneticPr fontId="3" type="noConversion"/>
  </si>
  <si>
    <t>급식비</t>
    <phoneticPr fontId="22" type="noConversion"/>
  </si>
  <si>
    <t>9월 급식비</t>
    <phoneticPr fontId="3" type="noConversion"/>
  </si>
  <si>
    <t>10월 급식비</t>
    <phoneticPr fontId="3" type="noConversion"/>
  </si>
  <si>
    <t>11월 급식비</t>
    <phoneticPr fontId="3" type="noConversion"/>
  </si>
  <si>
    <t>12월 급식비</t>
    <phoneticPr fontId="3" type="noConversion"/>
  </si>
  <si>
    <t>겨울방학 급식비</t>
    <phoneticPr fontId="3" type="noConversion"/>
  </si>
  <si>
    <t>1월 급식비</t>
    <phoneticPr fontId="3" type="noConversion"/>
  </si>
  <si>
    <t>급식비</t>
    <phoneticPr fontId="3" type="noConversion"/>
  </si>
  <si>
    <t>2월 급식비</t>
    <phoneticPr fontId="3" type="noConversion"/>
  </si>
  <si>
    <t>지난년도급식비</t>
    <phoneticPr fontId="3" type="noConversion"/>
  </si>
  <si>
    <t>지난년도 이월금</t>
    <phoneticPr fontId="3" type="noConversion"/>
  </si>
  <si>
    <t>방과후학교교육활동비</t>
    <phoneticPr fontId="22" type="noConversion"/>
  </si>
  <si>
    <t>방과후학교교육활동비</t>
    <phoneticPr fontId="3" type="noConversion"/>
  </si>
  <si>
    <t>방과후학교교육활동비</t>
    <phoneticPr fontId="3" type="noConversion"/>
  </si>
  <si>
    <t>지난년도 이월금</t>
    <phoneticPr fontId="3" type="noConversion"/>
  </si>
  <si>
    <t>현장체험학습비</t>
    <phoneticPr fontId="22" type="noConversion"/>
  </si>
  <si>
    <t>1학년 수학여행비</t>
    <phoneticPr fontId="22" type="noConversion"/>
  </si>
  <si>
    <t>1학년 현장체험학습비</t>
    <phoneticPr fontId="3" type="noConversion"/>
  </si>
  <si>
    <t>2학년 현장체험학습비</t>
    <phoneticPr fontId="3" type="noConversion"/>
  </si>
  <si>
    <t>지난년도현장체험학습비</t>
    <phoneticPr fontId="3" type="noConversion"/>
  </si>
  <si>
    <t>지난년도수련활동비</t>
    <phoneticPr fontId="3" type="noConversion"/>
  </si>
  <si>
    <t>졸업앨범대금</t>
    <phoneticPr fontId="22" type="noConversion"/>
  </si>
  <si>
    <t>지난년도졸업앨범대금</t>
    <phoneticPr fontId="3" type="noConversion"/>
  </si>
  <si>
    <t>교과서대금</t>
    <phoneticPr fontId="22" type="noConversion"/>
  </si>
  <si>
    <t>지난년도교과서대금</t>
    <phoneticPr fontId="3" type="noConversion"/>
  </si>
  <si>
    <t>기숙사비</t>
    <phoneticPr fontId="22" type="noConversion"/>
  </si>
  <si>
    <t>3월 기숙사비</t>
    <phoneticPr fontId="22" type="noConversion"/>
  </si>
  <si>
    <t>4월 기숙사비</t>
    <phoneticPr fontId="3" type="noConversion"/>
  </si>
  <si>
    <t>5월 기숙사비</t>
    <phoneticPr fontId="3" type="noConversion"/>
  </si>
  <si>
    <t>6월 기숙사비</t>
    <phoneticPr fontId="3" type="noConversion"/>
  </si>
  <si>
    <t>7월 기숙사비</t>
    <phoneticPr fontId="3" type="noConversion"/>
  </si>
  <si>
    <t>여름방학 기숙사비</t>
    <phoneticPr fontId="3" type="noConversion"/>
  </si>
  <si>
    <t>8월 기숙사비</t>
    <phoneticPr fontId="3" type="noConversion"/>
  </si>
  <si>
    <t>9월 기숙사비</t>
    <phoneticPr fontId="3" type="noConversion"/>
  </si>
  <si>
    <t>10월 기숙사비</t>
    <phoneticPr fontId="3" type="noConversion"/>
  </si>
  <si>
    <t>11월 기숙사비</t>
    <phoneticPr fontId="3" type="noConversion"/>
  </si>
  <si>
    <t>12월 기숙사비</t>
    <phoneticPr fontId="3" type="noConversion"/>
  </si>
  <si>
    <t>겨울방학 기숙사비</t>
    <phoneticPr fontId="3" type="noConversion"/>
  </si>
  <si>
    <t>1월 기숙사비</t>
    <phoneticPr fontId="3" type="noConversion"/>
  </si>
  <si>
    <t>기숙사비</t>
    <phoneticPr fontId="3" type="noConversion"/>
  </si>
  <si>
    <t>2월 기숙사비</t>
    <phoneticPr fontId="3" type="noConversion"/>
  </si>
  <si>
    <t>지난년도기숙사비</t>
    <phoneticPr fontId="3" type="noConversion"/>
  </si>
  <si>
    <t>행정활동수입</t>
    <phoneticPr fontId="22" type="noConversion"/>
  </si>
  <si>
    <t>사용료및수수료</t>
    <phoneticPr fontId="22" type="noConversion"/>
  </si>
  <si>
    <t>사용료및수수료</t>
    <phoneticPr fontId="22" type="noConversion"/>
  </si>
  <si>
    <t>사용료</t>
    <phoneticPr fontId="3" type="noConversion"/>
  </si>
  <si>
    <t>임대료 (기숙사 등)</t>
    <phoneticPr fontId="3" type="noConversion"/>
  </si>
  <si>
    <t>수수료</t>
    <phoneticPr fontId="3" type="noConversion"/>
  </si>
  <si>
    <t>신입생 전형료</t>
    <phoneticPr fontId="3" type="noConversion"/>
  </si>
  <si>
    <t>전.편입 전형료</t>
    <phoneticPr fontId="3" type="noConversion"/>
  </si>
  <si>
    <t>제증명수수료</t>
    <phoneticPr fontId="3" type="noConversion"/>
  </si>
  <si>
    <t>AP 시험비용</t>
    <phoneticPr fontId="3" type="noConversion"/>
  </si>
  <si>
    <t>수수료</t>
    <phoneticPr fontId="3" type="noConversion"/>
  </si>
  <si>
    <t>시험비용</t>
    <phoneticPr fontId="22" type="noConversion"/>
  </si>
  <si>
    <t>모의고사비용</t>
    <phoneticPr fontId="3" type="noConversion"/>
  </si>
  <si>
    <t>영어토론대회 참가비</t>
    <phoneticPr fontId="3" type="noConversion"/>
  </si>
  <si>
    <t>표준화검사료</t>
    <phoneticPr fontId="3" type="noConversion"/>
  </si>
  <si>
    <t>기타행정활동수입</t>
    <phoneticPr fontId="22" type="noConversion"/>
  </si>
  <si>
    <t>이자수입</t>
    <phoneticPr fontId="22" type="noConversion"/>
  </si>
  <si>
    <t>정기예금</t>
    <phoneticPr fontId="22" type="noConversion"/>
  </si>
  <si>
    <t>일반예금</t>
    <phoneticPr fontId="22" type="noConversion"/>
  </si>
  <si>
    <t>법인세환급금</t>
    <phoneticPr fontId="22" type="noConversion"/>
  </si>
  <si>
    <t>기타행정활동수입</t>
    <phoneticPr fontId="22" type="noConversion"/>
  </si>
  <si>
    <t>기타행정활동수입</t>
    <phoneticPr fontId="3" type="noConversion"/>
  </si>
  <si>
    <t>교생 교육실습비</t>
    <phoneticPr fontId="3" type="noConversion"/>
  </si>
  <si>
    <t>기타행정활동수입</t>
    <phoneticPr fontId="3" type="noConversion"/>
  </si>
  <si>
    <t>제증명 우편료 외</t>
    <phoneticPr fontId="22" type="noConversion"/>
  </si>
  <si>
    <t>지난년도수입</t>
    <phoneticPr fontId="3" type="noConversion"/>
  </si>
  <si>
    <t>AP시험 외</t>
    <phoneticPr fontId="3" type="noConversion"/>
  </si>
  <si>
    <t>기타수입</t>
    <phoneticPr fontId="22" type="noConversion"/>
  </si>
  <si>
    <t>전년도이월금</t>
    <phoneticPr fontId="22" type="noConversion"/>
  </si>
  <si>
    <t>순세계잉여금</t>
    <phoneticPr fontId="22" type="noConversion"/>
  </si>
  <si>
    <t>순세계잉여금</t>
    <phoneticPr fontId="22" type="noConversion"/>
  </si>
  <si>
    <t>이월금</t>
    <phoneticPr fontId="22" type="noConversion"/>
  </si>
  <si>
    <t>2014학년도 본예산</t>
    <phoneticPr fontId="3" type="noConversion"/>
  </si>
  <si>
    <t>2013학년도 예산</t>
    <phoneticPr fontId="3" type="noConversion"/>
  </si>
  <si>
    <t>2013학년도 예산</t>
    <phoneticPr fontId="3" type="noConversion"/>
  </si>
  <si>
    <t>지원금 수입은 별도의 예산편성을 하지 않음          (예결산지침 준용)</t>
    <phoneticPr fontId="3" type="noConversion"/>
  </si>
  <si>
    <t>전기요금 등</t>
    <phoneticPr fontId="3" type="noConversion"/>
  </si>
  <si>
    <t>다목적관공사비</t>
    <phoneticPr fontId="3" type="noConversion"/>
  </si>
  <si>
    <t xml:space="preserve"> </t>
    <phoneticPr fontId="3" type="noConversion"/>
  </si>
  <si>
    <t>(단위:원)</t>
    <phoneticPr fontId="3" type="noConversion"/>
  </si>
  <si>
    <t>사업</t>
    <phoneticPr fontId="3" type="noConversion"/>
  </si>
  <si>
    <t>산출내역</t>
    <phoneticPr fontId="3" type="noConversion"/>
  </si>
  <si>
    <t>적요</t>
    <phoneticPr fontId="3" type="noConversion"/>
  </si>
  <si>
    <t>정책</t>
    <phoneticPr fontId="3" type="noConversion"/>
  </si>
  <si>
    <t>단위</t>
    <phoneticPr fontId="3" type="noConversion"/>
  </si>
  <si>
    <t>세부</t>
    <phoneticPr fontId="3" type="noConversion"/>
  </si>
  <si>
    <t>항목</t>
    <phoneticPr fontId="3" type="noConversion"/>
  </si>
  <si>
    <t>원가통계비목</t>
    <phoneticPr fontId="3" type="noConversion"/>
  </si>
  <si>
    <t>인적자원 운영</t>
    <phoneticPr fontId="22" type="noConversion"/>
  </si>
  <si>
    <t>교원보수</t>
    <phoneticPr fontId="22" type="noConversion"/>
  </si>
  <si>
    <t>교원 보수</t>
    <phoneticPr fontId="22" type="noConversion"/>
  </si>
  <si>
    <t>보수</t>
    <phoneticPr fontId="22" type="noConversion"/>
  </si>
  <si>
    <t>봉급</t>
    <phoneticPr fontId="22" type="noConversion"/>
  </si>
  <si>
    <t>정근수당</t>
    <phoneticPr fontId="22" type="noConversion"/>
  </si>
  <si>
    <t>정근수당 가산금</t>
    <phoneticPr fontId="22" type="noConversion"/>
  </si>
  <si>
    <t>성과상여금</t>
    <phoneticPr fontId="22" type="noConversion"/>
  </si>
  <si>
    <t>가족수당</t>
    <phoneticPr fontId="22" type="noConversion"/>
  </si>
  <si>
    <t>자녀학비보조수당</t>
    <phoneticPr fontId="22" type="noConversion"/>
  </si>
  <si>
    <t>자녀학비보조수당</t>
    <phoneticPr fontId="22" type="noConversion"/>
  </si>
  <si>
    <t>육아휴직수당</t>
    <phoneticPr fontId="22" type="noConversion"/>
  </si>
  <si>
    <t>교원보전수당</t>
    <phoneticPr fontId="22" type="noConversion"/>
  </si>
  <si>
    <t>교직수당</t>
    <phoneticPr fontId="22" type="noConversion"/>
  </si>
  <si>
    <t>교직수당가산금2</t>
    <phoneticPr fontId="22" type="noConversion"/>
  </si>
  <si>
    <t>보직수당</t>
    <phoneticPr fontId="22" type="noConversion"/>
  </si>
  <si>
    <t>교직수당가산금4</t>
    <phoneticPr fontId="22" type="noConversion"/>
  </si>
  <si>
    <t>담임수당</t>
    <phoneticPr fontId="22" type="noConversion"/>
  </si>
  <si>
    <t>교직수당가산금6</t>
    <phoneticPr fontId="22" type="noConversion"/>
  </si>
  <si>
    <t>보건활동수당</t>
    <phoneticPr fontId="22" type="noConversion"/>
  </si>
  <si>
    <t>국제전문직위수당</t>
    <phoneticPr fontId="22" type="noConversion"/>
  </si>
  <si>
    <t>국제화영재교육수당</t>
    <phoneticPr fontId="22" type="noConversion"/>
  </si>
  <si>
    <t>시간외근무수당</t>
    <phoneticPr fontId="22" type="noConversion"/>
  </si>
  <si>
    <t>초과근무수당 정액분</t>
    <phoneticPr fontId="22" type="noConversion"/>
  </si>
  <si>
    <t>초과근무수당 초과분</t>
    <phoneticPr fontId="22" type="noConversion"/>
  </si>
  <si>
    <t>관리업무수당</t>
    <phoneticPr fontId="22" type="noConversion"/>
  </si>
  <si>
    <t>교직수당가산금2</t>
    <phoneticPr fontId="3" type="noConversion"/>
  </si>
  <si>
    <t>보직수당</t>
    <phoneticPr fontId="3" type="noConversion"/>
  </si>
  <si>
    <t>직급보조비</t>
    <phoneticPr fontId="22" type="noConversion"/>
  </si>
  <si>
    <t>정액급식비</t>
    <phoneticPr fontId="22" type="noConversion"/>
  </si>
  <si>
    <t>명절휴가비</t>
    <phoneticPr fontId="22" type="noConversion"/>
  </si>
  <si>
    <t>법정부담금</t>
    <phoneticPr fontId="22" type="noConversion"/>
  </si>
  <si>
    <t>교직원법정부담금</t>
    <phoneticPr fontId="22" type="noConversion"/>
  </si>
  <si>
    <t>교원사학연금</t>
    <phoneticPr fontId="22" type="noConversion"/>
  </si>
  <si>
    <t>교원재해보상금</t>
    <phoneticPr fontId="22" type="noConversion"/>
  </si>
  <si>
    <t>교원건강보험료</t>
    <phoneticPr fontId="22" type="noConversion"/>
  </si>
  <si>
    <t>교원노인장기요양보험료</t>
    <phoneticPr fontId="22" type="noConversion"/>
  </si>
  <si>
    <t>직원보수</t>
    <phoneticPr fontId="22" type="noConversion"/>
  </si>
  <si>
    <t>직원보수</t>
    <phoneticPr fontId="22" type="noConversion"/>
  </si>
  <si>
    <t>성과상여금</t>
    <phoneticPr fontId="22" type="noConversion"/>
  </si>
  <si>
    <t>가족수당</t>
    <phoneticPr fontId="22" type="noConversion"/>
  </si>
  <si>
    <t>자녀학비보조수당</t>
    <phoneticPr fontId="22" type="noConversion"/>
  </si>
  <si>
    <t>국제전문직위수당</t>
    <phoneticPr fontId="22" type="noConversion"/>
  </si>
  <si>
    <t>국제화영재교육수당</t>
    <phoneticPr fontId="22" type="noConversion"/>
  </si>
  <si>
    <t>시간외근무수당</t>
    <phoneticPr fontId="22" type="noConversion"/>
  </si>
  <si>
    <t>초과근무수당 정액분</t>
    <phoneticPr fontId="22" type="noConversion"/>
  </si>
  <si>
    <t>초과근무수당 초과분</t>
    <phoneticPr fontId="22" type="noConversion"/>
  </si>
  <si>
    <t>직책수당</t>
    <phoneticPr fontId="22" type="noConversion"/>
  </si>
  <si>
    <t>보직수당</t>
    <phoneticPr fontId="22" type="noConversion"/>
  </si>
  <si>
    <t>정액급식비</t>
    <phoneticPr fontId="22" type="noConversion"/>
  </si>
  <si>
    <t>명절휴가비</t>
    <phoneticPr fontId="22" type="noConversion"/>
  </si>
  <si>
    <t>연가보상비</t>
    <phoneticPr fontId="22" type="noConversion"/>
  </si>
  <si>
    <t>직급보조비</t>
    <phoneticPr fontId="22" type="noConversion"/>
  </si>
  <si>
    <t>법정부담금</t>
    <phoneticPr fontId="22" type="noConversion"/>
  </si>
  <si>
    <t>교직원법정부담금</t>
    <phoneticPr fontId="22" type="noConversion"/>
  </si>
  <si>
    <t>직원사학연금</t>
    <phoneticPr fontId="22" type="noConversion"/>
  </si>
  <si>
    <t>교직원법정부담금</t>
    <phoneticPr fontId="22" type="noConversion"/>
  </si>
  <si>
    <t>직원재해보상금</t>
    <phoneticPr fontId="22" type="noConversion"/>
  </si>
  <si>
    <t>직원건강보험료</t>
    <phoneticPr fontId="22" type="noConversion"/>
  </si>
  <si>
    <t>교직원기타보수</t>
    <phoneticPr fontId="22" type="noConversion"/>
  </si>
  <si>
    <t>기타직보수</t>
    <phoneticPr fontId="22" type="noConversion"/>
  </si>
  <si>
    <t>계약직교원인건비</t>
    <phoneticPr fontId="22" type="noConversion"/>
  </si>
  <si>
    <t>기간제교사 인건비</t>
    <phoneticPr fontId="22" type="noConversion"/>
  </si>
  <si>
    <t>무기계약근로자인건비</t>
    <phoneticPr fontId="3" type="noConversion"/>
  </si>
  <si>
    <t>무기계약직 인건비</t>
    <phoneticPr fontId="3" type="noConversion"/>
  </si>
  <si>
    <t>기타직법정부담금</t>
    <phoneticPr fontId="22" type="noConversion"/>
  </si>
  <si>
    <t>기간제근로자보수</t>
    <phoneticPr fontId="22" type="noConversion"/>
  </si>
  <si>
    <t>기간제근로자인건비</t>
    <phoneticPr fontId="22" type="noConversion"/>
  </si>
  <si>
    <t>교무지원인건비</t>
    <phoneticPr fontId="22" type="noConversion"/>
  </si>
  <si>
    <t>비정규직인건비</t>
    <phoneticPr fontId="3" type="noConversion"/>
  </si>
  <si>
    <t>기간제법정부담금</t>
    <phoneticPr fontId="22" type="noConversion"/>
  </si>
  <si>
    <t>국민연금</t>
    <phoneticPr fontId="22" type="noConversion"/>
  </si>
  <si>
    <t>건강보험료</t>
    <phoneticPr fontId="22" type="noConversion"/>
  </si>
  <si>
    <t>산재보험료</t>
    <phoneticPr fontId="22" type="noConversion"/>
  </si>
  <si>
    <t>고용보험료</t>
    <phoneticPr fontId="22" type="noConversion"/>
  </si>
  <si>
    <t>퇴직급여</t>
    <phoneticPr fontId="22" type="noConversion"/>
  </si>
  <si>
    <t>일반운영비</t>
    <phoneticPr fontId="22" type="noConversion"/>
  </si>
  <si>
    <t>맞춤형복지비</t>
    <phoneticPr fontId="22" type="noConversion"/>
  </si>
  <si>
    <t>선택적 복리후생지원</t>
    <phoneticPr fontId="22" type="noConversion"/>
  </si>
  <si>
    <t>학교운영지원비수당</t>
    <phoneticPr fontId="22" type="noConversion"/>
  </si>
  <si>
    <t>학교운영지원비수당</t>
    <phoneticPr fontId="22" type="noConversion"/>
  </si>
  <si>
    <t>교원연구비</t>
    <phoneticPr fontId="22" type="noConversion"/>
  </si>
  <si>
    <t>교원수당</t>
    <phoneticPr fontId="3" type="noConversion"/>
  </si>
  <si>
    <t>직책수당</t>
    <phoneticPr fontId="22" type="noConversion"/>
  </si>
  <si>
    <t>교직원수당</t>
    <phoneticPr fontId="3" type="noConversion"/>
  </si>
  <si>
    <t>관리수당</t>
    <phoneticPr fontId="22" type="noConversion"/>
  </si>
  <si>
    <t>직원수당</t>
    <phoneticPr fontId="3" type="noConversion"/>
  </si>
  <si>
    <t>교직원 복지 및 역량강화</t>
    <phoneticPr fontId="22" type="noConversion"/>
  </si>
  <si>
    <t>교직원연수</t>
    <phoneticPr fontId="22" type="noConversion"/>
  </si>
  <si>
    <t>일반운영비</t>
    <phoneticPr fontId="22" type="noConversion"/>
  </si>
  <si>
    <t>교직원복지비</t>
    <phoneticPr fontId="22" type="noConversion"/>
  </si>
  <si>
    <t>교직원 연수 운영경비</t>
    <phoneticPr fontId="22" type="noConversion"/>
  </si>
  <si>
    <t>교직원복지비</t>
    <phoneticPr fontId="3" type="noConversion"/>
  </si>
  <si>
    <t>자격연수 여비</t>
    <phoneticPr fontId="22" type="noConversion"/>
  </si>
  <si>
    <t>교육청 지원금</t>
    <phoneticPr fontId="3" type="noConversion"/>
  </si>
  <si>
    <t>연수참가 경비 및 등록비</t>
    <phoneticPr fontId="22" type="noConversion"/>
  </si>
  <si>
    <t>여비</t>
    <phoneticPr fontId="22" type="noConversion"/>
  </si>
  <si>
    <t>근거리출장비</t>
    <phoneticPr fontId="22" type="noConversion"/>
  </si>
  <si>
    <t>교직원복지</t>
    <phoneticPr fontId="22" type="noConversion"/>
  </si>
  <si>
    <t>교무학사부 운영경비</t>
    <phoneticPr fontId="22" type="noConversion"/>
  </si>
  <si>
    <t>인성창의부 운영경비</t>
    <phoneticPr fontId="22" type="noConversion"/>
  </si>
  <si>
    <t>기획연구부 운영경비</t>
    <phoneticPr fontId="22" type="noConversion"/>
  </si>
  <si>
    <t>국제부 운영경비</t>
    <phoneticPr fontId="22" type="noConversion"/>
  </si>
  <si>
    <t>입학홍보부 운영경비</t>
    <phoneticPr fontId="22" type="noConversion"/>
  </si>
  <si>
    <t>교직원복지비</t>
    <phoneticPr fontId="22" type="noConversion"/>
  </si>
  <si>
    <t>1학년부 운영경비</t>
    <phoneticPr fontId="22" type="noConversion"/>
  </si>
  <si>
    <t>2학년부 운영경비</t>
    <phoneticPr fontId="22" type="noConversion"/>
  </si>
  <si>
    <t>3학년부 운영경비</t>
    <phoneticPr fontId="22" type="noConversion"/>
  </si>
  <si>
    <t>행정실 운영경비</t>
    <phoneticPr fontId="22" type="noConversion"/>
  </si>
  <si>
    <t>기본특근매식비</t>
    <phoneticPr fontId="22" type="noConversion"/>
  </si>
  <si>
    <t>교직원건강검사진단비</t>
    <phoneticPr fontId="22" type="noConversion"/>
  </si>
  <si>
    <t>교원 성과 포상금</t>
    <phoneticPr fontId="3" type="noConversion"/>
  </si>
  <si>
    <t>맞춤형복지</t>
    <phoneticPr fontId="22" type="noConversion"/>
  </si>
  <si>
    <t>맞춤형복지비</t>
    <phoneticPr fontId="22" type="noConversion"/>
  </si>
  <si>
    <t>선택적 복리후생지원</t>
    <phoneticPr fontId="22" type="noConversion"/>
  </si>
  <si>
    <t>학생복지/교육격차 해소</t>
    <phoneticPr fontId="22" type="noConversion"/>
  </si>
  <si>
    <t>급식 관리</t>
    <phoneticPr fontId="22" type="noConversion"/>
  </si>
  <si>
    <t>위탁급식운영</t>
    <phoneticPr fontId="22" type="noConversion"/>
  </si>
  <si>
    <t>급식용식재료비</t>
    <phoneticPr fontId="3" type="noConversion"/>
  </si>
  <si>
    <t>급식사업위탁용역비</t>
    <phoneticPr fontId="22" type="noConversion"/>
  </si>
  <si>
    <t>기숙사 관리</t>
    <phoneticPr fontId="22" type="noConversion"/>
  </si>
  <si>
    <t>기숙사운영</t>
    <phoneticPr fontId="22" type="noConversion"/>
  </si>
  <si>
    <t>기간제근로자보수</t>
    <phoneticPr fontId="22" type="noConversion"/>
  </si>
  <si>
    <t>기간제근로자인건비</t>
    <phoneticPr fontId="22" type="noConversion"/>
  </si>
  <si>
    <t>기간제법정부담금</t>
    <phoneticPr fontId="22" type="noConversion"/>
  </si>
  <si>
    <t>생활지도교사 국민연금</t>
    <phoneticPr fontId="22" type="noConversion"/>
  </si>
  <si>
    <t>생활지도교사 건강보험료</t>
    <phoneticPr fontId="22" type="noConversion"/>
  </si>
  <si>
    <t>생활지도교사 산재보험료</t>
    <phoneticPr fontId="22" type="noConversion"/>
  </si>
  <si>
    <t>생활지도교사 고용보험료</t>
    <phoneticPr fontId="3" type="noConversion"/>
  </si>
  <si>
    <t>생활지도교사 퇴직급여</t>
    <phoneticPr fontId="22" type="noConversion"/>
  </si>
  <si>
    <t>교직원건강검사진단비</t>
    <phoneticPr fontId="22" type="noConversion"/>
  </si>
  <si>
    <t>일반수용비</t>
    <phoneticPr fontId="22" type="noConversion"/>
  </si>
  <si>
    <t>기숙사 소모품 구입비</t>
    <phoneticPr fontId="22" type="noConversion"/>
  </si>
  <si>
    <t>신문구독료</t>
    <phoneticPr fontId="22" type="noConversion"/>
  </si>
  <si>
    <t>정수기 수질검사 수수료</t>
    <phoneticPr fontId="22" type="noConversion"/>
  </si>
  <si>
    <t>기숙사 시설 안전검사비</t>
    <phoneticPr fontId="22" type="noConversion"/>
  </si>
  <si>
    <t>기숙사 침구류 구입비</t>
    <phoneticPr fontId="3" type="noConversion"/>
  </si>
  <si>
    <t>교복 및 침구류 린넨서비스 용역비</t>
    <phoneticPr fontId="22" type="noConversion"/>
  </si>
  <si>
    <t>기숙사 시설물 수선비</t>
    <phoneticPr fontId="22" type="noConversion"/>
  </si>
  <si>
    <t>집기비품 수리비</t>
    <phoneticPr fontId="22" type="noConversion"/>
  </si>
  <si>
    <t>영상정보처리장치 유지보수비</t>
    <phoneticPr fontId="3" type="noConversion"/>
  </si>
  <si>
    <t>시설관리 소모품 구입비</t>
    <phoneticPr fontId="22" type="noConversion"/>
  </si>
  <si>
    <t>정화조 관리위탁비</t>
    <phoneticPr fontId="22" type="noConversion"/>
  </si>
  <si>
    <t>정화조 슬러지 청소비</t>
    <phoneticPr fontId="22" type="noConversion"/>
  </si>
  <si>
    <t>승강기 유지보수비</t>
    <phoneticPr fontId="22" type="noConversion"/>
  </si>
  <si>
    <t>소방시설 관리위탁비</t>
    <phoneticPr fontId="22" type="noConversion"/>
  </si>
  <si>
    <t>기숙사 경비 용역비</t>
    <phoneticPr fontId="22" type="noConversion"/>
  </si>
  <si>
    <t>기숙사 청소,설비 용역비</t>
    <phoneticPr fontId="22" type="noConversion"/>
  </si>
  <si>
    <t>정수기 렌탈료</t>
    <phoneticPr fontId="22" type="noConversion"/>
  </si>
  <si>
    <t>세탁기, 건조기 렌탈료</t>
    <phoneticPr fontId="22" type="noConversion"/>
  </si>
  <si>
    <t>일반업무추진비</t>
    <phoneticPr fontId="3" type="noConversion"/>
  </si>
  <si>
    <t>용역직원 간담회비</t>
    <phoneticPr fontId="3" type="noConversion"/>
  </si>
  <si>
    <t>전기요금</t>
    <phoneticPr fontId="22" type="noConversion"/>
  </si>
  <si>
    <t>상하수도료</t>
    <phoneticPr fontId="22" type="noConversion"/>
  </si>
  <si>
    <t>상수도 사용료</t>
    <phoneticPr fontId="22" type="noConversion"/>
  </si>
  <si>
    <t>연료비</t>
    <phoneticPr fontId="22" type="noConversion"/>
  </si>
  <si>
    <t>도시가스요금</t>
    <phoneticPr fontId="22" type="noConversion"/>
  </si>
  <si>
    <t>기타공공요금</t>
    <phoneticPr fontId="22" type="noConversion"/>
  </si>
  <si>
    <t>인터넷통신요금</t>
    <phoneticPr fontId="22" type="noConversion"/>
  </si>
  <si>
    <t>시설물분 환경개선부담금</t>
    <phoneticPr fontId="22" type="noConversion"/>
  </si>
  <si>
    <t>학생 병원 수송 근거리출장비</t>
    <phoneticPr fontId="22" type="noConversion"/>
  </si>
  <si>
    <t>교육운영비</t>
    <phoneticPr fontId="22" type="noConversion"/>
  </si>
  <si>
    <t>병원 수송 차량 임차료</t>
    <phoneticPr fontId="22" type="noConversion"/>
  </si>
  <si>
    <t>귀가의 날 버스 임차료</t>
    <phoneticPr fontId="22" type="noConversion"/>
  </si>
  <si>
    <t>학생복지비</t>
    <phoneticPr fontId="22" type="noConversion"/>
  </si>
  <si>
    <t>약품구입비</t>
    <phoneticPr fontId="22" type="noConversion"/>
  </si>
  <si>
    <t>보건 관리</t>
    <phoneticPr fontId="22" type="noConversion"/>
  </si>
  <si>
    <t>학생안전관리</t>
    <phoneticPr fontId="22" type="noConversion"/>
  </si>
  <si>
    <t>학교안전공제회비</t>
    <phoneticPr fontId="22" type="noConversion"/>
  </si>
  <si>
    <t>학생환경위생관리</t>
    <phoneticPr fontId="22" type="noConversion"/>
  </si>
  <si>
    <t>물탱크 청소비</t>
    <phoneticPr fontId="22" type="noConversion"/>
  </si>
  <si>
    <t>수질검사 수수료</t>
    <phoneticPr fontId="22" type="noConversion"/>
  </si>
  <si>
    <t>실내공기질 검사비</t>
    <phoneticPr fontId="3" type="noConversion"/>
  </si>
  <si>
    <t>학교 위생교육 출장비</t>
    <phoneticPr fontId="22" type="noConversion"/>
  </si>
  <si>
    <t>학생건강관리</t>
    <phoneticPr fontId="22" type="noConversion"/>
  </si>
  <si>
    <t>학생건강검사진단비</t>
    <phoneticPr fontId="22" type="noConversion"/>
  </si>
  <si>
    <t>보건실운영</t>
    <phoneticPr fontId="22" type="noConversion"/>
  </si>
  <si>
    <t>보건실 약품구입비</t>
    <phoneticPr fontId="22" type="noConversion"/>
  </si>
  <si>
    <t>교육격차 해소</t>
    <phoneticPr fontId="22" type="noConversion"/>
  </si>
  <si>
    <t>기타교육격차해소</t>
    <phoneticPr fontId="22" type="noConversion"/>
  </si>
  <si>
    <t>저소득층자녀지원</t>
    <phoneticPr fontId="22" type="noConversion"/>
  </si>
  <si>
    <t>학생복지비</t>
    <phoneticPr fontId="3" type="noConversion"/>
  </si>
  <si>
    <t>저소득층자녀학비</t>
    <phoneticPr fontId="3" type="noConversion"/>
  </si>
  <si>
    <t>사회적배려대상자학비</t>
    <phoneticPr fontId="3" type="noConversion"/>
  </si>
  <si>
    <t>사회적배려대상자기숙사비</t>
    <phoneticPr fontId="3" type="noConversion"/>
  </si>
  <si>
    <t>저소득층자녀중식비</t>
    <phoneticPr fontId="3" type="noConversion"/>
  </si>
  <si>
    <t>사회적배려대상자방과후교육비</t>
    <phoneticPr fontId="3" type="noConversion"/>
  </si>
  <si>
    <t>방과후학교자유수강권</t>
    <phoneticPr fontId="3" type="noConversion"/>
  </si>
  <si>
    <t>교과서무상지원</t>
    <phoneticPr fontId="3" type="noConversion"/>
  </si>
  <si>
    <t>사회적배려대상자체험학습비</t>
    <phoneticPr fontId="3" type="noConversion"/>
  </si>
  <si>
    <t>다문화방과후교육비</t>
    <phoneticPr fontId="3" type="noConversion"/>
  </si>
  <si>
    <t>특수교육대상자지원</t>
    <phoneticPr fontId="22" type="noConversion"/>
  </si>
  <si>
    <t>특수교육대상학생교통비</t>
    <phoneticPr fontId="3" type="noConversion"/>
  </si>
  <si>
    <t>학생 장학 지원</t>
    <phoneticPr fontId="22" type="noConversion"/>
  </si>
  <si>
    <t>학생장학금지원</t>
    <phoneticPr fontId="22" type="noConversion"/>
  </si>
  <si>
    <t>교내 장학금</t>
    <phoneticPr fontId="22" type="noConversion"/>
  </si>
  <si>
    <t>교외 장학금</t>
    <phoneticPr fontId="3" type="noConversion"/>
  </si>
  <si>
    <t>외부 장학금</t>
    <phoneticPr fontId="3" type="noConversion"/>
  </si>
  <si>
    <t>기타 학생복리 서비스</t>
    <phoneticPr fontId="22" type="noConversion"/>
  </si>
  <si>
    <t>졸업앨범제작</t>
    <phoneticPr fontId="22" type="noConversion"/>
  </si>
  <si>
    <t>졸업앨범 제작비</t>
    <phoneticPr fontId="22" type="noConversion"/>
  </si>
  <si>
    <t>학생교과서구입</t>
    <phoneticPr fontId="22" type="noConversion"/>
  </si>
  <si>
    <t>학생용 교과서 구입비</t>
    <phoneticPr fontId="22" type="noConversion"/>
  </si>
  <si>
    <t>기타학생복지</t>
    <phoneticPr fontId="22" type="noConversion"/>
  </si>
  <si>
    <t>졸업가운 제작 및 보관</t>
    <phoneticPr fontId="22" type="noConversion"/>
  </si>
  <si>
    <t>기본적 교육활동</t>
    <phoneticPr fontId="22" type="noConversion"/>
  </si>
  <si>
    <t>교과 활동</t>
    <phoneticPr fontId="22" type="noConversion"/>
  </si>
  <si>
    <t>기본교수학습활동지원</t>
    <phoneticPr fontId="22" type="noConversion"/>
  </si>
  <si>
    <t>교구 소모품 구입비</t>
    <phoneticPr fontId="22" type="noConversion"/>
  </si>
  <si>
    <t>교육용 소모품 구입비</t>
    <phoneticPr fontId="22" type="noConversion"/>
  </si>
  <si>
    <t>교사용 지도서 및 교재 구입비</t>
    <phoneticPr fontId="22" type="noConversion"/>
  </si>
  <si>
    <t>과학교과활동</t>
    <phoneticPr fontId="22" type="noConversion"/>
  </si>
  <si>
    <t>과학 기자재 구입</t>
    <phoneticPr fontId="22" type="noConversion"/>
  </si>
  <si>
    <t>과학실 폐수 처리비</t>
    <phoneticPr fontId="22" type="noConversion"/>
  </si>
  <si>
    <t>운영수당</t>
    <phoneticPr fontId="3" type="noConversion"/>
  </si>
  <si>
    <t>과학실험보조원인건비</t>
    <phoneticPr fontId="3" type="noConversion"/>
  </si>
  <si>
    <t>체육교과활동</t>
    <phoneticPr fontId="22" type="noConversion"/>
  </si>
  <si>
    <t>예술교과활동</t>
    <phoneticPr fontId="22" type="noConversion"/>
  </si>
  <si>
    <t>1학년 인솔교사 여비</t>
    <phoneticPr fontId="22" type="noConversion"/>
  </si>
  <si>
    <t>2학년 인솔교사 여비</t>
    <phoneticPr fontId="22" type="noConversion"/>
  </si>
  <si>
    <t>진로교육직업체험비</t>
    <phoneticPr fontId="3" type="noConversion"/>
  </si>
  <si>
    <t>방과후학교운영</t>
    <phoneticPr fontId="22" type="noConversion"/>
  </si>
  <si>
    <t>일반운영비</t>
    <phoneticPr fontId="22" type="noConversion"/>
  </si>
  <si>
    <t>운영수당</t>
    <phoneticPr fontId="22" type="noConversion"/>
  </si>
  <si>
    <t>강사료</t>
    <phoneticPr fontId="22" type="noConversion"/>
  </si>
  <si>
    <t>1인 1악기 강사료</t>
    <phoneticPr fontId="22" type="noConversion"/>
  </si>
  <si>
    <t>1인 1체육 강사료</t>
    <phoneticPr fontId="22" type="noConversion"/>
  </si>
  <si>
    <t>영어 online-writing 첨삭비</t>
    <phoneticPr fontId="22" type="noConversion"/>
  </si>
  <si>
    <t>전기요금</t>
    <phoneticPr fontId="22" type="noConversion"/>
  </si>
  <si>
    <t>교육운영비</t>
    <phoneticPr fontId="22" type="noConversion"/>
  </si>
  <si>
    <t>사무용품 구입</t>
    <phoneticPr fontId="22" type="noConversion"/>
  </si>
  <si>
    <t>ET 온라인 신청관리 프로그램 사용료</t>
    <phoneticPr fontId="22" type="noConversion"/>
  </si>
  <si>
    <t>ET 온라인 서버 및 소프트웨어 구입비</t>
    <phoneticPr fontId="22" type="noConversion"/>
  </si>
  <si>
    <t>1인 1체육 운영경비</t>
    <phoneticPr fontId="22" type="noConversion"/>
  </si>
  <si>
    <t>시설사용료 및 차량운행비</t>
    <phoneticPr fontId="3" type="noConversion"/>
  </si>
  <si>
    <t>국제교육운영</t>
    <phoneticPr fontId="22" type="noConversion"/>
  </si>
  <si>
    <t>일반수용비</t>
    <phoneticPr fontId="22" type="noConversion"/>
  </si>
  <si>
    <t>국제교류 운영경비</t>
    <phoneticPr fontId="22" type="noConversion"/>
  </si>
  <si>
    <t>OACAC회비 및 참가등록비</t>
    <phoneticPr fontId="22" type="noConversion"/>
  </si>
  <si>
    <t>일반업무추진비</t>
    <phoneticPr fontId="22" type="noConversion"/>
  </si>
  <si>
    <t>국내외 대학 진학협의회비</t>
    <phoneticPr fontId="3" type="noConversion"/>
  </si>
  <si>
    <t>여비</t>
    <phoneticPr fontId="22" type="noConversion"/>
  </si>
  <si>
    <t>국내대학방문 출장비</t>
    <phoneticPr fontId="3" type="noConversion"/>
  </si>
  <si>
    <t>국외대학방문 출장비</t>
    <phoneticPr fontId="22" type="noConversion"/>
  </si>
  <si>
    <t>독서활동</t>
    <phoneticPr fontId="22" type="noConversion"/>
  </si>
  <si>
    <t>독서활동운영</t>
    <phoneticPr fontId="22" type="noConversion"/>
  </si>
  <si>
    <t>비품구입비</t>
    <phoneticPr fontId="22" type="noConversion"/>
  </si>
  <si>
    <t>도서구입비</t>
    <phoneticPr fontId="22" type="noConversion"/>
  </si>
  <si>
    <t>도서구입비(장서)</t>
    <phoneticPr fontId="22" type="noConversion"/>
  </si>
  <si>
    <t>교육운영비</t>
    <phoneticPr fontId="22" type="noConversion"/>
  </si>
  <si>
    <t>도서관 운영경비</t>
    <phoneticPr fontId="22" type="noConversion"/>
  </si>
  <si>
    <t>기간제근로자보수</t>
    <phoneticPr fontId="22" type="noConversion"/>
  </si>
  <si>
    <t>맞춤형복지비</t>
    <phoneticPr fontId="22" type="noConversion"/>
  </si>
  <si>
    <t>선택적 복리후생지원</t>
    <phoneticPr fontId="22" type="noConversion"/>
  </si>
  <si>
    <t>기타 선택적 교육활동</t>
    <phoneticPr fontId="22" type="noConversion"/>
  </si>
  <si>
    <t>계약직교원인건비</t>
    <phoneticPr fontId="3" type="noConversion"/>
  </si>
  <si>
    <t>시간강사료</t>
    <phoneticPr fontId="3" type="noConversion"/>
  </si>
  <si>
    <t>일반운영비</t>
    <phoneticPr fontId="22" type="noConversion"/>
  </si>
  <si>
    <t>일반수용비</t>
    <phoneticPr fontId="22" type="noConversion"/>
  </si>
  <si>
    <t>학교 기념품 제작비</t>
    <phoneticPr fontId="22" type="noConversion"/>
  </si>
  <si>
    <t>교과 상징 제작비</t>
    <phoneticPr fontId="22" type="noConversion"/>
  </si>
  <si>
    <t>학교설명회 방문자 다과비</t>
    <phoneticPr fontId="22" type="noConversion"/>
  </si>
  <si>
    <t>학교설명회 운영경비</t>
    <phoneticPr fontId="3" type="noConversion"/>
  </si>
  <si>
    <t>입학요강 제작비</t>
    <phoneticPr fontId="22" type="noConversion"/>
  </si>
  <si>
    <t>입학요강 인쇄비</t>
    <phoneticPr fontId="22" type="noConversion"/>
  </si>
  <si>
    <t>홍보용 국문 브로셔</t>
    <phoneticPr fontId="22" type="noConversion"/>
  </si>
  <si>
    <t>교육과정평가</t>
    <phoneticPr fontId="22" type="noConversion"/>
  </si>
  <si>
    <t>신입생 입시 운영경비</t>
    <phoneticPr fontId="22" type="noConversion"/>
  </si>
  <si>
    <t>전.편입 고사 운영경비</t>
    <phoneticPr fontId="22" type="noConversion"/>
  </si>
  <si>
    <t>시험지 인쇄용 소모품 구입</t>
    <phoneticPr fontId="22" type="noConversion"/>
  </si>
  <si>
    <t>정기고사용OMR카드구입</t>
    <phoneticPr fontId="22" type="noConversion"/>
  </si>
  <si>
    <t>성적우수자 시상품 구입</t>
    <phoneticPr fontId="22" type="noConversion"/>
  </si>
  <si>
    <t>사무용 집기 취득비</t>
    <phoneticPr fontId="22" type="noConversion"/>
  </si>
  <si>
    <t>업무용 소모품 구입비</t>
    <phoneticPr fontId="22" type="noConversion"/>
  </si>
  <si>
    <t xml:space="preserve">명함 제작비 </t>
    <phoneticPr fontId="22" type="noConversion"/>
  </si>
  <si>
    <t>업무용 차량 임차료</t>
    <phoneticPr fontId="22" type="noConversion"/>
  </si>
  <si>
    <t>업무용 차량 소모품비</t>
    <phoneticPr fontId="22" type="noConversion"/>
  </si>
  <si>
    <t>연료비</t>
    <phoneticPr fontId="22" type="noConversion"/>
  </si>
  <si>
    <t>업무용 차량 유류비</t>
    <phoneticPr fontId="22" type="noConversion"/>
  </si>
  <si>
    <t>학교운영 협력</t>
    <phoneticPr fontId="22" type="noConversion"/>
  </si>
  <si>
    <t>일반운영비</t>
    <phoneticPr fontId="22" type="noConversion"/>
  </si>
  <si>
    <t>일반업무추진비</t>
    <phoneticPr fontId="22" type="noConversion"/>
  </si>
  <si>
    <t>학교운영위원회 거마비</t>
    <phoneticPr fontId="22" type="noConversion"/>
  </si>
  <si>
    <t>학교운영위원회 회의비</t>
    <phoneticPr fontId="22" type="noConversion"/>
  </si>
  <si>
    <t>유관기관협력</t>
    <phoneticPr fontId="22" type="noConversion"/>
  </si>
  <si>
    <t>일반업무추진비</t>
    <phoneticPr fontId="22" type="noConversion"/>
  </si>
  <si>
    <t>학부모 소위원회 회의비</t>
    <phoneticPr fontId="22" type="noConversion"/>
  </si>
  <si>
    <t>학교시설 확충</t>
    <phoneticPr fontId="22" type="noConversion"/>
  </si>
  <si>
    <t>시설확충 및 개선</t>
    <phoneticPr fontId="22" type="noConversion"/>
  </si>
  <si>
    <t>시설비</t>
    <phoneticPr fontId="22" type="noConversion"/>
  </si>
  <si>
    <t>시설비</t>
    <phoneticPr fontId="3" type="noConversion"/>
  </si>
  <si>
    <t>다목적관 신축공사비</t>
    <phoneticPr fontId="3" type="noConversion"/>
  </si>
  <si>
    <t>정화조 배수로 연결공사비</t>
    <phoneticPr fontId="22" type="noConversion"/>
  </si>
  <si>
    <t>정화조시설 폐쇄 공사비</t>
    <phoneticPr fontId="22" type="noConversion"/>
  </si>
  <si>
    <t>폐쇄 오수 위탁처리비 포함</t>
    <phoneticPr fontId="3" type="noConversion"/>
  </si>
  <si>
    <t>시설물 도색 작업비</t>
    <phoneticPr fontId="22" type="noConversion"/>
  </si>
  <si>
    <t>교실 도색 작업</t>
    <phoneticPr fontId="3" type="noConversion"/>
  </si>
  <si>
    <t>시설 운영비</t>
    <phoneticPr fontId="3" type="noConversion"/>
  </si>
  <si>
    <t>진출입로 및 미끄럼방지 공사</t>
    <phoneticPr fontId="3" type="noConversion"/>
  </si>
  <si>
    <t>예비비 및 기타</t>
    <phoneticPr fontId="22" type="noConversion"/>
  </si>
  <si>
    <t>예비비 및 기타</t>
    <phoneticPr fontId="22" type="noConversion"/>
  </si>
  <si>
    <t>예비비 및 기타</t>
    <phoneticPr fontId="3" type="noConversion"/>
  </si>
  <si>
    <t>상환금</t>
    <phoneticPr fontId="3" type="noConversion"/>
  </si>
  <si>
    <t>사학진흥기금 상환금</t>
    <phoneticPr fontId="3" type="noConversion"/>
  </si>
  <si>
    <t>사회적배려대상자지원프로그램</t>
    <phoneticPr fontId="3" type="noConversion"/>
  </si>
  <si>
    <t>32,200원*334명</t>
    <phoneticPr fontId="3" type="noConversion"/>
  </si>
  <si>
    <t>685,800원*1,030명</t>
    <phoneticPr fontId="3" type="noConversion"/>
  </si>
  <si>
    <t>643,200원*1,030명</t>
    <phoneticPr fontId="3" type="noConversion"/>
  </si>
  <si>
    <t>지난년도방과후학교교육활동비</t>
    <phoneticPr fontId="3" type="noConversion"/>
  </si>
  <si>
    <t>여름방학 방과후학교교육활동비</t>
    <phoneticPr fontId="3" type="noConversion"/>
  </si>
  <si>
    <t>2학기 방과후학교교육활동비</t>
    <phoneticPr fontId="22" type="noConversion"/>
  </si>
  <si>
    <t>겨울방학 방과학교후교육활동비</t>
    <phoneticPr fontId="22" type="noConversion"/>
  </si>
  <si>
    <t>수수료 징수 조례 개정</t>
    <phoneticPr fontId="3" type="noConversion"/>
  </si>
  <si>
    <t>장애인고용 부담금, 국유지 대부료 외 포함</t>
    <phoneticPr fontId="3" type="noConversion"/>
  </si>
  <si>
    <t>교실 프로젝터 수선비</t>
    <phoneticPr fontId="3" type="noConversion"/>
  </si>
  <si>
    <t>학교시설 경비용역비</t>
    <phoneticPr fontId="22" type="noConversion"/>
  </si>
  <si>
    <t>기숙사 무인경비시스템유지비</t>
    <phoneticPr fontId="22" type="noConversion"/>
  </si>
  <si>
    <t>생활지도교사 간담회비</t>
    <phoneticPr fontId="3" type="noConversion"/>
  </si>
  <si>
    <t>학교시설 소독용역비</t>
    <phoneticPr fontId="22" type="noConversion"/>
  </si>
  <si>
    <t>보일러,엘리베이터,가스시설 등</t>
    <phoneticPr fontId="3" type="noConversion"/>
  </si>
  <si>
    <t>교구 구입비</t>
    <phoneticPr fontId="22" type="noConversion"/>
  </si>
  <si>
    <t>기자재 수선비</t>
    <phoneticPr fontId="22" type="noConversion"/>
  </si>
  <si>
    <t>1학기 방과후학교교육활동비</t>
    <phoneticPr fontId="3" type="noConversion"/>
  </si>
  <si>
    <t>현장체험학습비</t>
    <phoneticPr fontId="22" type="noConversion"/>
  </si>
  <si>
    <t>2학년 수련학습활동비</t>
    <phoneticPr fontId="22" type="noConversion"/>
  </si>
  <si>
    <t>예결산 지침(통합)</t>
    <phoneticPr fontId="3" type="noConversion"/>
  </si>
  <si>
    <t>Mock Trial Competiton추가</t>
    <phoneticPr fontId="3" type="noConversion"/>
  </si>
  <si>
    <t>시설누수 보수공사비</t>
    <phoneticPr fontId="3" type="noConversion"/>
  </si>
  <si>
    <t>옥상누수보수공사</t>
    <phoneticPr fontId="3" type="noConversion"/>
  </si>
  <si>
    <t>기숙사 누수보수공사비</t>
    <phoneticPr fontId="3" type="noConversion"/>
  </si>
  <si>
    <t>기숙사 외벽청소비</t>
    <phoneticPr fontId="3" type="noConversion"/>
  </si>
  <si>
    <t>건물외벽청소</t>
    <phoneticPr fontId="3" type="noConversion"/>
  </si>
  <si>
    <t>운동장보수비 포함</t>
    <phoneticPr fontId="3" type="noConversion"/>
  </si>
  <si>
    <t>시설물 수선비</t>
    <phoneticPr fontId="22" type="noConversion"/>
  </si>
  <si>
    <t>EHP 수선비 등</t>
    <phoneticPr fontId="3" type="noConversion"/>
  </si>
  <si>
    <t>명시이월</t>
    <phoneticPr fontId="3" type="noConversion"/>
  </si>
  <si>
    <t>학교직원인건비</t>
    <phoneticPr fontId="3" type="noConversion"/>
  </si>
  <si>
    <t>생활지도운영</t>
    <phoneticPr fontId="22" type="noConversion"/>
  </si>
  <si>
    <t>학교폭력예방교육 운영비</t>
    <phoneticPr fontId="3" type="noConversion"/>
  </si>
  <si>
    <t>학교폭력예방교육비</t>
    <phoneticPr fontId="3" type="noConversion"/>
  </si>
  <si>
    <t>학교직원인건비</t>
    <phoneticPr fontId="3" type="noConversion"/>
  </si>
  <si>
    <t>일반업무추진비</t>
    <phoneticPr fontId="22" type="noConversion"/>
  </si>
  <si>
    <t>행정지원인력운용</t>
    <phoneticPr fontId="22" type="noConversion"/>
  </si>
  <si>
    <t>학생복지비</t>
    <phoneticPr fontId="22" type="noConversion"/>
  </si>
  <si>
    <t>학교스포츠클럽 운영비</t>
    <phoneticPr fontId="3" type="noConversion"/>
  </si>
  <si>
    <t>교직원대체인건비</t>
    <phoneticPr fontId="22" type="noConversion"/>
  </si>
  <si>
    <t>직원장기요양보험료</t>
    <phoneticPr fontId="22" type="noConversion"/>
  </si>
  <si>
    <t>장기요양보험료</t>
    <phoneticPr fontId="22" type="noConversion"/>
  </si>
  <si>
    <t>사서교사 산재보험료</t>
    <phoneticPr fontId="22" type="noConversion"/>
  </si>
  <si>
    <t>상담교사 산재보험료</t>
    <phoneticPr fontId="22" type="noConversion"/>
  </si>
  <si>
    <t>상담교사 장기요양보험료</t>
    <phoneticPr fontId="3" type="noConversion"/>
  </si>
  <si>
    <t>사고이월</t>
    <phoneticPr fontId="3" type="noConversion"/>
  </si>
  <si>
    <t>전년도이월금</t>
    <phoneticPr fontId="22" type="noConversion"/>
  </si>
  <si>
    <t>전년도 이월금</t>
    <phoneticPr fontId="3" type="noConversion"/>
  </si>
  <si>
    <t>2013 예산</t>
    <phoneticPr fontId="3" type="noConversion"/>
  </si>
  <si>
    <t>2014 본예산</t>
    <phoneticPr fontId="3" type="noConversion"/>
  </si>
  <si>
    <t>증감액</t>
    <phoneticPr fontId="3" type="noConversion"/>
  </si>
  <si>
    <t>생활지도교사 장기요양보험료</t>
    <phoneticPr fontId="22" type="noConversion"/>
  </si>
  <si>
    <t>법정부담금</t>
    <phoneticPr fontId="3" type="noConversion"/>
  </si>
  <si>
    <t>Mock Trial Competition 등</t>
    <phoneticPr fontId="3" type="noConversion"/>
  </si>
  <si>
    <t>무기계약근로자(행정)</t>
    <phoneticPr fontId="3" type="noConversion"/>
  </si>
  <si>
    <t>학교직원법정부담금</t>
  </si>
  <si>
    <t>학교직원법정부담금</t>
    <phoneticPr fontId="22" type="noConversion"/>
  </si>
  <si>
    <t>학교직원 국민연금부담금</t>
    <phoneticPr fontId="22" type="noConversion"/>
  </si>
  <si>
    <t>학교직원 건강보험부담금</t>
    <phoneticPr fontId="22" type="noConversion"/>
  </si>
  <si>
    <t>학교직원 장기요양보험료</t>
    <phoneticPr fontId="3" type="noConversion"/>
  </si>
  <si>
    <t>학교직원 고용보험부담금</t>
    <phoneticPr fontId="22" type="noConversion"/>
  </si>
  <si>
    <t>학교직원 산재보험료</t>
    <phoneticPr fontId="22" type="noConversion"/>
  </si>
  <si>
    <t>학교직원 퇴직급여</t>
    <phoneticPr fontId="22" type="noConversion"/>
  </si>
  <si>
    <t>무기계약근로자(교무)</t>
    <phoneticPr fontId="3" type="noConversion"/>
  </si>
  <si>
    <t>기간제교사 국민연금</t>
    <phoneticPr fontId="22" type="noConversion"/>
  </si>
  <si>
    <t>기간제교사 건강보험료</t>
    <phoneticPr fontId="22" type="noConversion"/>
  </si>
  <si>
    <t>기간제교사 장기요양보험료</t>
    <phoneticPr fontId="22" type="noConversion"/>
  </si>
  <si>
    <t>기간제교사 고용보험료</t>
    <phoneticPr fontId="3" type="noConversion"/>
  </si>
  <si>
    <t>기간제교사 산재보험료</t>
    <phoneticPr fontId="22" type="noConversion"/>
  </si>
  <si>
    <t>기간제교사 퇴직금</t>
    <phoneticPr fontId="3" type="noConversion"/>
  </si>
  <si>
    <t>입학사정관/계약직원</t>
    <phoneticPr fontId="3" type="noConversion"/>
  </si>
  <si>
    <t>일반수용비</t>
    <phoneticPr fontId="3" type="noConversion"/>
  </si>
  <si>
    <t>교직원 출근버스 운영비</t>
    <phoneticPr fontId="3" type="noConversion"/>
  </si>
  <si>
    <t>세부사업 변경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</si>
</sst>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&quot;·&quot;@"/>
    <numFmt numFmtId="178" formatCode="#,##0&quot;¹&quot;;[Red]&quot;△&quot;#,##0&quot;¹&quot;;&quot;－ &quot;"/>
    <numFmt numFmtId="179" formatCode="#,##0&quot;²&quot;;[Red]&quot;△&quot;#,##0&quot;²&quot;;&quot;－ &quot;"/>
    <numFmt numFmtId="180" formatCode="#,##0&quot;³&quot;;[Red]&quot;△&quot;#,##0&quot;³&quot;;&quot;－ &quot;"/>
    <numFmt numFmtId="181" formatCode="#,##0;[Red]&quot;△&quot;#,##0;&quot;－&quot;"/>
    <numFmt numFmtId="182" formatCode="_ * #,##0_ ;_ * \-#,##0_ ;_ * &quot;-&quot;_ ;_ @_ "/>
    <numFmt numFmtId="183" formatCode="_ * #,##0.00_ ;_ * \-#,##0.00_ ;_ * &quot;-&quot;??_ ;_ @_ "/>
    <numFmt numFmtId="184" formatCode="_-* #,##0_-;\-* #,##0_-;_-* &quot;-&quot;??_-;_-@_-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2"/>
      <name val="바탕체"/>
      <family val="1"/>
      <charset val="129"/>
    </font>
    <font>
      <b/>
      <i/>
      <sz val="14"/>
      <color indexed="14"/>
      <name val="바탕체"/>
      <family val="1"/>
      <charset val="129"/>
    </font>
    <font>
      <b/>
      <i/>
      <sz val="12"/>
      <color indexed="14"/>
      <name val="바탕체"/>
      <family val="1"/>
      <charset val="129"/>
    </font>
    <font>
      <b/>
      <sz val="12"/>
      <color indexed="14"/>
      <name val="바탕체"/>
      <family val="1"/>
      <charset val="129"/>
    </font>
    <font>
      <b/>
      <u/>
      <sz val="18"/>
      <color indexed="33"/>
      <name val="바탕체"/>
      <family val="1"/>
      <charset val="129"/>
    </font>
    <font>
      <b/>
      <sz val="14"/>
      <color indexed="14"/>
      <name val="바탕체"/>
      <family val="1"/>
      <charset val="129"/>
    </font>
    <font>
      <b/>
      <sz val="12"/>
      <name val="바탕체"/>
      <family val="1"/>
      <charset val="129"/>
    </font>
    <font>
      <b/>
      <sz val="12"/>
      <name val="돋움체"/>
      <family val="3"/>
      <charset val="129"/>
    </font>
    <font>
      <b/>
      <sz val="14"/>
      <name val="바탕체"/>
      <family val="1"/>
      <charset val="129"/>
    </font>
    <font>
      <b/>
      <sz val="12"/>
      <name val="Arial"/>
      <family val="2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6">
    <xf numFmtId="0" fontId="0" fillId="0" borderId="0">
      <alignment vertical="center"/>
    </xf>
    <xf numFmtId="177" fontId="23" fillId="0" borderId="0">
      <alignment horizontal="left" vertical="top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0"/>
    <xf numFmtId="49" fontId="25" fillId="0" borderId="0">
      <alignment horizontal="left" vertical="top" wrapText="1"/>
    </xf>
    <xf numFmtId="49" fontId="23" fillId="0" borderId="0">
      <alignment vertical="top" wrapText="1"/>
    </xf>
    <xf numFmtId="0" fontId="11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38" fontId="26" fillId="0" borderId="0"/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9" fontId="27" fillId="0" borderId="0">
      <alignment horizontal="centerContinuous" vertical="center"/>
    </xf>
    <xf numFmtId="49" fontId="28" fillId="0" borderId="0">
      <alignment horizontal="left" vertical="center"/>
    </xf>
    <xf numFmtId="0" fontId="20" fillId="4" borderId="0" applyNumberFormat="0" applyBorder="0" applyAlignment="0" applyProtection="0">
      <alignment vertical="center"/>
    </xf>
    <xf numFmtId="178" fontId="23" fillId="0" borderId="9">
      <alignment vertical="center"/>
    </xf>
    <xf numFmtId="179" fontId="23" fillId="24" borderId="0">
      <alignment vertical="center"/>
    </xf>
    <xf numFmtId="180" fontId="23" fillId="24" borderId="0">
      <alignment vertical="center"/>
    </xf>
    <xf numFmtId="181" fontId="29" fillId="0" borderId="10" applyNumberFormat="0">
      <alignment horizontal="center" vertical="center"/>
    </xf>
    <xf numFmtId="0" fontId="21" fillId="20" borderId="11" applyNumberFormat="0" applyAlignment="0" applyProtection="0">
      <alignment vertical="center"/>
    </xf>
    <xf numFmtId="18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0" fillId="25" borderId="0" applyNumberFormat="0">
      <alignment horizontal="center" vertical="center"/>
    </xf>
    <xf numFmtId="49" fontId="31" fillId="25" borderId="0">
      <alignment horizontal="center" vertical="center"/>
    </xf>
    <xf numFmtId="0" fontId="32" fillId="0" borderId="12" applyNumberFormat="0" applyAlignment="0" applyProtection="0">
      <alignment horizontal="left" vertical="center"/>
    </xf>
    <xf numFmtId="0" fontId="32" fillId="0" borderId="13">
      <alignment horizontal="left" vertical="center"/>
    </xf>
    <xf numFmtId="0" fontId="1" fillId="0" borderId="0">
      <alignment vertical="center"/>
    </xf>
  </cellStyleXfs>
  <cellXfs count="286">
    <xf numFmtId="0" fontId="0" fillId="0" borderId="0" xfId="0">
      <alignment vertical="center"/>
    </xf>
    <xf numFmtId="41" fontId="33" fillId="0" borderId="14" xfId="59" applyNumberFormat="1" applyFont="1" applyBorder="1" applyAlignment="1">
      <alignment vertical="center" shrinkToFit="1"/>
    </xf>
    <xf numFmtId="0" fontId="34" fillId="0" borderId="0" xfId="60" applyFont="1" applyAlignment="1">
      <alignment horizontal="left" vertical="center" shrinkToFit="1"/>
    </xf>
    <xf numFmtId="0" fontId="34" fillId="0" borderId="0" xfId="60" applyFont="1" applyAlignment="1">
      <alignment vertical="center" shrinkToFit="1"/>
    </xf>
    <xf numFmtId="176" fontId="34" fillId="0" borderId="0" xfId="37" applyNumberFormat="1" applyFont="1" applyAlignment="1">
      <alignment vertical="center" shrinkToFit="1"/>
    </xf>
    <xf numFmtId="0" fontId="34" fillId="0" borderId="0" xfId="6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left" vertical="center" shrinkToFit="1"/>
    </xf>
    <xf numFmtId="0" fontId="35" fillId="0" borderId="0" xfId="0" applyFont="1" applyAlignment="1">
      <alignment vertical="center" shrinkToFit="1"/>
    </xf>
    <xf numFmtId="0" fontId="34" fillId="26" borderId="15" xfId="60" applyFont="1" applyFill="1" applyBorder="1" applyAlignment="1">
      <alignment horizontal="center" vertical="center" shrinkToFit="1"/>
    </xf>
    <xf numFmtId="41" fontId="36" fillId="28" borderId="16" xfId="37" applyFont="1" applyFill="1" applyBorder="1" applyAlignment="1">
      <alignment vertical="center" shrinkToFit="1"/>
    </xf>
    <xf numFmtId="0" fontId="36" fillId="0" borderId="17" xfId="0" applyFont="1" applyFill="1" applyBorder="1" applyAlignment="1">
      <alignment vertical="center" shrinkToFit="1"/>
    </xf>
    <xf numFmtId="41" fontId="36" fillId="29" borderId="18" xfId="37" applyFont="1" applyFill="1" applyBorder="1" applyAlignment="1">
      <alignment vertical="center" shrinkToFit="1"/>
    </xf>
    <xf numFmtId="0" fontId="36" fillId="0" borderId="19" xfId="0" applyFont="1" applyFill="1" applyBorder="1" applyAlignment="1">
      <alignment vertical="center" shrinkToFit="1"/>
    </xf>
    <xf numFmtId="0" fontId="36" fillId="0" borderId="20" xfId="0" applyFont="1" applyFill="1" applyBorder="1" applyAlignment="1">
      <alignment vertical="center" shrinkToFit="1"/>
    </xf>
    <xf numFmtId="41" fontId="36" fillId="30" borderId="18" xfId="37" applyFont="1" applyFill="1" applyBorder="1" applyAlignment="1">
      <alignment vertical="center" shrinkToFit="1"/>
    </xf>
    <xf numFmtId="0" fontId="36" fillId="0" borderId="22" xfId="0" applyFont="1" applyFill="1" applyBorder="1" applyAlignment="1">
      <alignment vertical="center" shrinkToFit="1"/>
    </xf>
    <xf numFmtId="0" fontId="36" fillId="0" borderId="23" xfId="0" applyFont="1" applyFill="1" applyBorder="1" applyAlignment="1">
      <alignment vertical="center" shrinkToFit="1"/>
    </xf>
    <xf numFmtId="0" fontId="36" fillId="0" borderId="18" xfId="0" applyFont="1" applyFill="1" applyBorder="1" applyAlignment="1">
      <alignment vertical="center" shrinkToFit="1"/>
    </xf>
    <xf numFmtId="41" fontId="36" fillId="0" borderId="18" xfId="37" applyFont="1" applyFill="1" applyBorder="1" applyAlignment="1">
      <alignment vertical="center" shrinkToFit="1"/>
    </xf>
    <xf numFmtId="41" fontId="36" fillId="0" borderId="18" xfId="37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vertical="center" shrinkToFit="1"/>
    </xf>
    <xf numFmtId="0" fontId="36" fillId="0" borderId="24" xfId="0" applyFont="1" applyFill="1" applyBorder="1" applyAlignment="1">
      <alignment vertical="center" shrinkToFit="1"/>
    </xf>
    <xf numFmtId="0" fontId="36" fillId="0" borderId="0" xfId="0" applyFont="1" applyFill="1" applyBorder="1" applyAlignment="1">
      <alignment vertical="center" shrinkToFit="1"/>
    </xf>
    <xf numFmtId="0" fontId="36" fillId="0" borderId="25" xfId="0" applyFont="1" applyFill="1" applyBorder="1" applyAlignment="1">
      <alignment vertical="center" shrinkToFit="1"/>
    </xf>
    <xf numFmtId="41" fontId="34" fillId="0" borderId="18" xfId="37" applyFont="1" applyBorder="1" applyAlignment="1">
      <alignment vertical="center" shrinkToFit="1"/>
    </xf>
    <xf numFmtId="0" fontId="36" fillId="0" borderId="26" xfId="0" applyFont="1" applyFill="1" applyBorder="1" applyAlignment="1">
      <alignment vertical="center" shrinkToFit="1"/>
    </xf>
    <xf numFmtId="0" fontId="34" fillId="0" borderId="18" xfId="0" applyFont="1" applyBorder="1" applyAlignment="1">
      <alignment vertical="center" shrinkToFit="1"/>
    </xf>
    <xf numFmtId="0" fontId="34" fillId="0" borderId="19" xfId="0" applyFont="1" applyBorder="1" applyAlignment="1">
      <alignment vertical="center" shrinkToFit="1"/>
    </xf>
    <xf numFmtId="0" fontId="34" fillId="0" borderId="22" xfId="0" applyFont="1" applyBorder="1" applyAlignment="1">
      <alignment vertical="center" shrinkToFit="1"/>
    </xf>
    <xf numFmtId="0" fontId="34" fillId="0" borderId="24" xfId="0" applyFont="1" applyBorder="1" applyAlignment="1">
      <alignment vertical="center" shrinkToFit="1"/>
    </xf>
    <xf numFmtId="0" fontId="34" fillId="0" borderId="0" xfId="0" applyFont="1" applyBorder="1" applyAlignment="1">
      <alignment vertical="center" shrinkToFit="1"/>
    </xf>
    <xf numFmtId="0" fontId="36" fillId="0" borderId="0" xfId="0" applyFont="1" applyFill="1" applyBorder="1" applyAlignment="1">
      <alignment horizontal="left" vertical="center" shrinkToFit="1"/>
    </xf>
    <xf numFmtId="0" fontId="36" fillId="0" borderId="16" xfId="0" applyFont="1" applyFill="1" applyBorder="1" applyAlignment="1">
      <alignment vertical="center" shrinkToFit="1"/>
    </xf>
    <xf numFmtId="41" fontId="36" fillId="30" borderId="18" xfId="0" applyNumberFormat="1" applyFont="1" applyFill="1" applyBorder="1" applyAlignment="1">
      <alignment vertical="center" shrinkToFit="1"/>
    </xf>
    <xf numFmtId="41" fontId="36" fillId="0" borderId="18" xfId="0" applyNumberFormat="1" applyFont="1" applyFill="1" applyBorder="1" applyAlignment="1">
      <alignment vertical="center" shrinkToFit="1"/>
    </xf>
    <xf numFmtId="41" fontId="36" fillId="0" borderId="16" xfId="37" applyFont="1" applyFill="1" applyBorder="1" applyAlignment="1">
      <alignment vertical="center" shrinkToFit="1"/>
    </xf>
    <xf numFmtId="41" fontId="36" fillId="0" borderId="23" xfId="37" applyFont="1" applyFill="1" applyBorder="1" applyAlignment="1">
      <alignment vertical="center" shrinkToFit="1"/>
    </xf>
    <xf numFmtId="0" fontId="34" fillId="0" borderId="18" xfId="0" applyFont="1" applyFill="1" applyBorder="1" applyAlignment="1">
      <alignment vertical="center" shrinkToFit="1"/>
    </xf>
    <xf numFmtId="41" fontId="34" fillId="0" borderId="18" xfId="37" applyFont="1" applyFill="1" applyBorder="1" applyAlignment="1">
      <alignment vertical="center" shrinkToFit="1"/>
    </xf>
    <xf numFmtId="41" fontId="36" fillId="0" borderId="16" xfId="0" applyNumberFormat="1" applyFont="1" applyFill="1" applyBorder="1" applyAlignment="1">
      <alignment vertical="center" shrinkToFit="1"/>
    </xf>
    <xf numFmtId="0" fontId="36" fillId="0" borderId="20" xfId="0" applyFont="1" applyFill="1" applyBorder="1" applyAlignment="1">
      <alignment horizontal="left" vertical="center" shrinkToFit="1"/>
    </xf>
    <xf numFmtId="0" fontId="34" fillId="0" borderId="27" xfId="0" applyFont="1" applyBorder="1" applyAlignment="1">
      <alignment horizontal="center" vertical="center" shrinkToFit="1"/>
    </xf>
    <xf numFmtId="41" fontId="36" fillId="29" borderId="18" xfId="0" applyNumberFormat="1" applyFont="1" applyFill="1" applyBorder="1" applyAlignment="1">
      <alignment vertical="center" shrinkToFit="1"/>
    </xf>
    <xf numFmtId="41" fontId="34" fillId="0" borderId="18" xfId="0" applyNumberFormat="1" applyFont="1" applyFill="1" applyBorder="1" applyAlignment="1">
      <alignment vertical="center" shrinkToFit="1"/>
    </xf>
    <xf numFmtId="41" fontId="34" fillId="0" borderId="26" xfId="37" applyFont="1" applyBorder="1" applyAlignment="1">
      <alignment vertical="center" shrinkToFit="1"/>
    </xf>
    <xf numFmtId="41" fontId="36" fillId="28" borderId="18" xfId="37" applyFont="1" applyFill="1" applyBorder="1" applyAlignment="1">
      <alignment vertical="center" shrinkToFit="1"/>
    </xf>
    <xf numFmtId="0" fontId="34" fillId="0" borderId="22" xfId="0" applyFont="1" applyFill="1" applyBorder="1" applyAlignment="1">
      <alignment vertical="center" shrinkToFit="1"/>
    </xf>
    <xf numFmtId="41" fontId="36" fillId="30" borderId="16" xfId="0" applyNumberFormat="1" applyFont="1" applyFill="1" applyBorder="1" applyAlignment="1">
      <alignment vertical="center" shrinkToFit="1"/>
    </xf>
    <xf numFmtId="0" fontId="34" fillId="0" borderId="0" xfId="0" applyFont="1" applyFill="1">
      <alignment vertical="center"/>
    </xf>
    <xf numFmtId="0" fontId="37" fillId="0" borderId="17" xfId="0" applyFont="1" applyFill="1" applyBorder="1" applyAlignment="1">
      <alignment vertical="center" shrinkToFit="1"/>
    </xf>
    <xf numFmtId="0" fontId="37" fillId="0" borderId="0" xfId="0" applyFont="1" applyFill="1" applyBorder="1" applyAlignment="1">
      <alignment vertical="center" shrinkToFit="1"/>
    </xf>
    <xf numFmtId="0" fontId="37" fillId="0" borderId="22" xfId="0" applyFont="1" applyFill="1" applyBorder="1" applyAlignment="1">
      <alignment vertical="center" shrinkToFit="1"/>
    </xf>
    <xf numFmtId="0" fontId="34" fillId="0" borderId="27" xfId="0" applyFont="1" applyFill="1" applyBorder="1" applyAlignment="1">
      <alignment horizontal="center" vertical="center" shrinkToFit="1"/>
    </xf>
    <xf numFmtId="0" fontId="36" fillId="0" borderId="28" xfId="0" applyFont="1" applyFill="1" applyBorder="1" applyAlignment="1">
      <alignment vertical="center" shrinkToFit="1"/>
    </xf>
    <xf numFmtId="0" fontId="36" fillId="0" borderId="18" xfId="0" applyFont="1" applyFill="1" applyBorder="1" applyAlignment="1">
      <alignment horizontal="left" vertical="center" shrinkToFit="1"/>
    </xf>
    <xf numFmtId="0" fontId="34" fillId="0" borderId="0" xfId="0" applyFont="1" applyAlignment="1">
      <alignment horizontal="center" vertical="center" shrinkToFit="1"/>
    </xf>
    <xf numFmtId="0" fontId="36" fillId="0" borderId="10" xfId="0" applyFont="1" applyFill="1" applyBorder="1" applyAlignment="1">
      <alignment vertical="center" shrinkToFit="1"/>
    </xf>
    <xf numFmtId="41" fontId="34" fillId="0" borderId="0" xfId="37" applyFont="1" applyFill="1" applyAlignment="1">
      <alignment vertical="center" shrinkToFit="1"/>
    </xf>
    <xf numFmtId="0" fontId="36" fillId="0" borderId="23" xfId="0" applyFont="1" applyFill="1" applyBorder="1" applyAlignment="1">
      <alignment horizontal="left" vertical="center" shrinkToFit="1"/>
    </xf>
    <xf numFmtId="41" fontId="34" fillId="0" borderId="0" xfId="37" applyFont="1" applyAlignment="1">
      <alignment vertical="center" shrinkToFit="1"/>
    </xf>
    <xf numFmtId="0" fontId="34" fillId="0" borderId="0" xfId="60" applyFont="1" applyFill="1" applyAlignment="1">
      <alignment horizontal="center" vertical="center" shrinkToFit="1"/>
    </xf>
    <xf numFmtId="0" fontId="35" fillId="0" borderId="0" xfId="0" applyFont="1" applyFill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41" fontId="34" fillId="0" borderId="29" xfId="37" applyFont="1" applyBorder="1" applyAlignment="1">
      <alignment horizontal="right" vertical="center" shrinkToFit="1"/>
    </xf>
    <xf numFmtId="41" fontId="38" fillId="0" borderId="0" xfId="59" applyNumberFormat="1" applyFont="1" applyAlignment="1">
      <alignment vertical="center" shrinkToFit="1"/>
    </xf>
    <xf numFmtId="41" fontId="33" fillId="0" borderId="0" xfId="59" applyNumberFormat="1" applyFont="1" applyAlignment="1">
      <alignment horizontal="right" vertical="center" shrinkToFit="1"/>
    </xf>
    <xf numFmtId="41" fontId="38" fillId="0" borderId="0" xfId="59" applyNumberFormat="1" applyFont="1" applyAlignment="1">
      <alignment horizontal="center" vertical="center" shrinkToFit="1"/>
    </xf>
    <xf numFmtId="41" fontId="39" fillId="27" borderId="32" xfId="59" applyNumberFormat="1" applyFont="1" applyFill="1" applyBorder="1" applyAlignment="1">
      <alignment horizontal="center" vertical="center" shrinkToFit="1"/>
    </xf>
    <xf numFmtId="41" fontId="39" fillId="27" borderId="33" xfId="59" applyNumberFormat="1" applyFont="1" applyFill="1" applyBorder="1" applyAlignment="1">
      <alignment horizontal="center" vertical="center" shrinkToFit="1"/>
    </xf>
    <xf numFmtId="41" fontId="39" fillId="27" borderId="34" xfId="59" applyNumberFormat="1" applyFont="1" applyFill="1" applyBorder="1" applyAlignment="1">
      <alignment horizontal="center" vertical="center" shrinkToFit="1"/>
    </xf>
    <xf numFmtId="41" fontId="34" fillId="0" borderId="35" xfId="59" applyNumberFormat="1" applyFont="1" applyBorder="1" applyAlignment="1">
      <alignment vertical="center" shrinkToFit="1"/>
    </xf>
    <xf numFmtId="41" fontId="33" fillId="0" borderId="35" xfId="59" applyNumberFormat="1" applyFont="1" applyBorder="1" applyAlignment="1">
      <alignment vertical="center" shrinkToFit="1"/>
    </xf>
    <xf numFmtId="41" fontId="33" fillId="0" borderId="36" xfId="59" applyNumberFormat="1" applyFont="1" applyBorder="1" applyAlignment="1">
      <alignment vertical="center" shrinkToFit="1"/>
    </xf>
    <xf numFmtId="41" fontId="34" fillId="0" borderId="37" xfId="59" applyNumberFormat="1" applyFont="1" applyBorder="1" applyAlignment="1">
      <alignment vertical="center" shrinkToFit="1"/>
    </xf>
    <xf numFmtId="41" fontId="33" fillId="0" borderId="37" xfId="59" applyNumberFormat="1" applyFont="1" applyBorder="1" applyAlignment="1">
      <alignment vertical="center" shrinkToFit="1"/>
    </xf>
    <xf numFmtId="41" fontId="34" fillId="0" borderId="38" xfId="59" applyNumberFormat="1" applyFont="1" applyBorder="1" applyAlignment="1">
      <alignment vertical="center" shrinkToFit="1"/>
    </xf>
    <xf numFmtId="41" fontId="34" fillId="0" borderId="39" xfId="59" applyNumberFormat="1" applyFont="1" applyBorder="1" applyAlignment="1">
      <alignment vertical="center" shrinkToFit="1"/>
    </xf>
    <xf numFmtId="41" fontId="34" fillId="0" borderId="40" xfId="59" applyNumberFormat="1" applyFont="1" applyBorder="1" applyAlignment="1">
      <alignment vertical="center" shrinkToFit="1"/>
    </xf>
    <xf numFmtId="41" fontId="39" fillId="27" borderId="41" xfId="59" applyNumberFormat="1" applyFont="1" applyFill="1" applyBorder="1" applyAlignment="1">
      <alignment horizontal="center" vertical="center" shrinkToFit="1"/>
    </xf>
    <xf numFmtId="41" fontId="35" fillId="27" borderId="42" xfId="59" applyNumberFormat="1" applyFont="1" applyFill="1" applyBorder="1" applyAlignment="1">
      <alignment vertical="center" shrinkToFit="1"/>
    </xf>
    <xf numFmtId="41" fontId="39" fillId="27" borderId="42" xfId="59" applyNumberFormat="1" applyFont="1" applyFill="1" applyBorder="1" applyAlignment="1">
      <alignment horizontal="center" vertical="center" shrinkToFit="1"/>
    </xf>
    <xf numFmtId="0" fontId="38" fillId="0" borderId="0" xfId="0" applyFont="1">
      <alignment vertical="center"/>
    </xf>
    <xf numFmtId="0" fontId="36" fillId="28" borderId="43" xfId="0" applyFont="1" applyFill="1" applyBorder="1" applyAlignment="1">
      <alignment horizontal="center" vertical="center" shrinkToFit="1"/>
    </xf>
    <xf numFmtId="0" fontId="36" fillId="29" borderId="27" xfId="0" applyFont="1" applyFill="1" applyBorder="1" applyAlignment="1">
      <alignment horizontal="center" vertical="center" shrinkToFit="1"/>
    </xf>
    <xf numFmtId="0" fontId="36" fillId="30" borderId="27" xfId="0" applyFont="1" applyFill="1" applyBorder="1" applyAlignment="1">
      <alignment horizontal="center" vertical="center" shrinkToFit="1"/>
    </xf>
    <xf numFmtId="0" fontId="36" fillId="0" borderId="27" xfId="0" applyFont="1" applyFill="1" applyBorder="1" applyAlignment="1">
      <alignment horizontal="center" vertical="center" shrinkToFit="1"/>
    </xf>
    <xf numFmtId="41" fontId="34" fillId="0" borderId="27" xfId="37" applyFont="1" applyBorder="1" applyAlignment="1">
      <alignment horizontal="center" vertical="center" shrinkToFit="1"/>
    </xf>
    <xf numFmtId="0" fontId="36" fillId="28" borderId="27" xfId="0" applyFont="1" applyFill="1" applyBorder="1" applyAlignment="1">
      <alignment horizontal="center" vertical="center" shrinkToFit="1"/>
    </xf>
    <xf numFmtId="0" fontId="36" fillId="30" borderId="43" xfId="0" applyFont="1" applyFill="1" applyBorder="1" applyAlignment="1">
      <alignment horizontal="center" vertical="center" shrinkToFit="1"/>
    </xf>
    <xf numFmtId="0" fontId="36" fillId="29" borderId="43" xfId="0" applyFont="1" applyFill="1" applyBorder="1" applyAlignment="1">
      <alignment horizontal="center" vertical="center" shrinkToFit="1"/>
    </xf>
    <xf numFmtId="41" fontId="34" fillId="0" borderId="27" xfId="37" applyFont="1" applyFill="1" applyBorder="1" applyAlignment="1">
      <alignment horizontal="center" vertical="center" shrinkToFit="1"/>
    </xf>
    <xf numFmtId="0" fontId="36" fillId="0" borderId="22" xfId="0" applyFont="1" applyFill="1" applyBorder="1" applyAlignment="1">
      <alignment horizontal="left" vertical="center" shrinkToFit="1"/>
    </xf>
    <xf numFmtId="41" fontId="36" fillId="28" borderId="18" xfId="0" applyNumberFormat="1" applyFont="1" applyFill="1" applyBorder="1" applyAlignment="1">
      <alignment vertical="center" shrinkToFit="1"/>
    </xf>
    <xf numFmtId="41" fontId="40" fillId="0" borderId="27" xfId="37" applyFont="1" applyBorder="1" applyAlignment="1">
      <alignment horizontal="center" vertical="center" wrapText="1" shrinkToFit="1"/>
    </xf>
    <xf numFmtId="41" fontId="34" fillId="0" borderId="0" xfId="0" applyNumberFormat="1" applyFont="1" applyAlignment="1">
      <alignment vertical="center" shrinkToFit="1"/>
    </xf>
    <xf numFmtId="0" fontId="34" fillId="0" borderId="0" xfId="0" applyFont="1" applyFill="1" applyAlignment="1">
      <alignment vertical="center"/>
    </xf>
    <xf numFmtId="0" fontId="36" fillId="0" borderId="19" xfId="0" applyFont="1" applyFill="1" applyBorder="1" applyAlignment="1">
      <alignment vertical="center"/>
    </xf>
    <xf numFmtId="41" fontId="34" fillId="29" borderId="18" xfId="37" applyFont="1" applyFill="1" applyBorder="1" applyAlignment="1">
      <alignment vertical="center"/>
    </xf>
    <xf numFmtId="41" fontId="34" fillId="29" borderId="27" xfId="37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vertical="center"/>
    </xf>
    <xf numFmtId="0" fontId="36" fillId="30" borderId="0" xfId="0" applyFont="1" applyFill="1" applyBorder="1" applyAlignment="1">
      <alignment vertical="center"/>
    </xf>
    <xf numFmtId="41" fontId="34" fillId="0" borderId="18" xfId="37" applyFont="1" applyBorder="1" applyAlignment="1">
      <alignment vertical="center"/>
    </xf>
    <xf numFmtId="41" fontId="34" fillId="0" borderId="27" xfId="37" applyFont="1" applyBorder="1" applyAlignment="1">
      <alignment horizontal="center" vertical="center"/>
    </xf>
    <xf numFmtId="41" fontId="36" fillId="0" borderId="23" xfId="37" applyFont="1" applyFill="1" applyBorder="1" applyAlignment="1">
      <alignment horizontal="center" vertical="center" shrinkToFit="1"/>
    </xf>
    <xf numFmtId="0" fontId="36" fillId="29" borderId="26" xfId="0" applyFont="1" applyFill="1" applyBorder="1" applyAlignment="1">
      <alignment vertical="center"/>
    </xf>
    <xf numFmtId="0" fontId="36" fillId="29" borderId="10" xfId="0" applyFont="1" applyFill="1" applyBorder="1" applyAlignment="1">
      <alignment vertical="center"/>
    </xf>
    <xf numFmtId="0" fontId="36" fillId="0" borderId="10" xfId="0" applyFont="1" applyFill="1" applyBorder="1" applyAlignment="1">
      <alignment vertical="center"/>
    </xf>
    <xf numFmtId="0" fontId="36" fillId="0" borderId="26" xfId="0" applyFont="1" applyFill="1" applyBorder="1" applyAlignment="1">
      <alignment vertical="center"/>
    </xf>
    <xf numFmtId="0" fontId="36" fillId="30" borderId="26" xfId="0" applyFont="1" applyFill="1" applyBorder="1" applyAlignment="1">
      <alignment vertical="center"/>
    </xf>
    <xf numFmtId="0" fontId="36" fillId="0" borderId="9" xfId="0" applyFont="1" applyFill="1" applyBorder="1" applyAlignment="1">
      <alignment vertical="center" shrinkToFit="1"/>
    </xf>
    <xf numFmtId="41" fontId="36" fillId="29" borderId="27" xfId="37" applyFont="1" applyFill="1" applyBorder="1" applyAlignment="1">
      <alignment vertical="center" shrinkToFit="1"/>
    </xf>
    <xf numFmtId="41" fontId="36" fillId="30" borderId="27" xfId="37" applyFont="1" applyFill="1" applyBorder="1" applyAlignment="1">
      <alignment vertical="center" shrinkToFit="1"/>
    </xf>
    <xf numFmtId="41" fontId="34" fillId="0" borderId="0" xfId="37" applyFont="1" applyFill="1" applyAlignment="1">
      <alignment vertical="center"/>
    </xf>
    <xf numFmtId="41" fontId="36" fillId="30" borderId="21" xfId="37" applyFont="1" applyFill="1" applyBorder="1" applyAlignment="1">
      <alignment vertical="center" shrinkToFit="1"/>
    </xf>
    <xf numFmtId="41" fontId="34" fillId="0" borderId="0" xfId="37" applyFont="1" applyAlignment="1">
      <alignment vertical="center"/>
    </xf>
    <xf numFmtId="41" fontId="34" fillId="0" borderId="18" xfId="37" applyFont="1" applyFill="1" applyBorder="1" applyAlignment="1">
      <alignment vertical="center"/>
    </xf>
    <xf numFmtId="41" fontId="36" fillId="28" borderId="48" xfId="37" applyFont="1" applyFill="1" applyBorder="1" applyAlignment="1">
      <alignment vertical="center" shrinkToFit="1"/>
    </xf>
    <xf numFmtId="0" fontId="36" fillId="28" borderId="49" xfId="0" applyFont="1" applyFill="1" applyBorder="1" applyAlignment="1">
      <alignment horizontal="center" vertical="center" shrinkToFit="1"/>
    </xf>
    <xf numFmtId="41" fontId="34" fillId="30" borderId="18" xfId="37" applyFont="1" applyFill="1" applyBorder="1" applyAlignment="1">
      <alignment vertical="center"/>
    </xf>
    <xf numFmtId="41" fontId="34" fillId="30" borderId="27" xfId="37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vertical="center" shrinkToFit="1"/>
    </xf>
    <xf numFmtId="41" fontId="35" fillId="0" borderId="0" xfId="37" applyFont="1" applyAlignment="1">
      <alignment vertical="center" shrinkToFit="1"/>
    </xf>
    <xf numFmtId="0" fontId="34" fillId="0" borderId="24" xfId="0" applyFont="1" applyFill="1" applyBorder="1" applyAlignment="1">
      <alignment vertical="center" shrinkToFit="1"/>
    </xf>
    <xf numFmtId="0" fontId="36" fillId="0" borderId="24" xfId="0" applyFont="1" applyFill="1" applyBorder="1" applyAlignment="1">
      <alignment horizontal="left" vertical="center" shrinkToFit="1"/>
    </xf>
    <xf numFmtId="0" fontId="36" fillId="0" borderId="47" xfId="0" applyFont="1" applyFill="1" applyBorder="1" applyAlignment="1">
      <alignment vertical="center" shrinkToFit="1"/>
    </xf>
    <xf numFmtId="0" fontId="36" fillId="0" borderId="47" xfId="0" applyFont="1" applyFill="1" applyBorder="1" applyAlignment="1">
      <alignment horizontal="left" vertical="center" shrinkToFit="1"/>
    </xf>
    <xf numFmtId="0" fontId="34" fillId="0" borderId="26" xfId="0" applyFont="1" applyBorder="1" applyAlignment="1">
      <alignment vertical="center" shrinkToFit="1"/>
    </xf>
    <xf numFmtId="41" fontId="36" fillId="0" borderId="19" xfId="37" applyFont="1" applyFill="1" applyBorder="1" applyAlignment="1">
      <alignment vertical="center" shrinkToFit="1"/>
    </xf>
    <xf numFmtId="41" fontId="34" fillId="0" borderId="19" xfId="37" applyFont="1" applyFill="1" applyBorder="1" applyAlignment="1">
      <alignment vertical="center"/>
    </xf>
    <xf numFmtId="0" fontId="34" fillId="0" borderId="0" xfId="0" applyFont="1" applyAlignment="1">
      <alignment vertical="center"/>
    </xf>
    <xf numFmtId="41" fontId="34" fillId="0" borderId="0" xfId="0" applyNumberFormat="1" applyFont="1" applyFill="1" applyAlignment="1">
      <alignment vertical="center"/>
    </xf>
    <xf numFmtId="41" fontId="34" fillId="0" borderId="0" xfId="37" applyFont="1" applyFill="1" applyBorder="1" applyAlignment="1">
      <alignment vertical="center"/>
    </xf>
    <xf numFmtId="0" fontId="34" fillId="0" borderId="10" xfId="0" applyFont="1" applyBorder="1" applyAlignment="1">
      <alignment vertical="center" shrinkToFit="1"/>
    </xf>
    <xf numFmtId="41" fontId="34" fillId="0" borderId="21" xfId="37" applyFont="1" applyBorder="1" applyAlignment="1">
      <alignment vertical="center" shrinkToFit="1"/>
    </xf>
    <xf numFmtId="41" fontId="35" fillId="0" borderId="0" xfId="37" applyFont="1" applyFill="1" applyAlignment="1">
      <alignment vertical="center"/>
    </xf>
    <xf numFmtId="41" fontId="36" fillId="0" borderId="27" xfId="37" applyFont="1" applyFill="1" applyBorder="1" applyAlignment="1">
      <alignment horizontal="center" vertical="center" shrinkToFit="1"/>
    </xf>
    <xf numFmtId="41" fontId="36" fillId="0" borderId="21" xfId="37" applyFont="1" applyFill="1" applyBorder="1" applyAlignment="1">
      <alignment vertical="center" shrinkToFit="1"/>
    </xf>
    <xf numFmtId="41" fontId="36" fillId="30" borderId="16" xfId="37" applyFont="1" applyFill="1" applyBorder="1" applyAlignment="1">
      <alignment vertical="center" shrinkToFit="1"/>
    </xf>
    <xf numFmtId="41" fontId="40" fillId="0" borderId="27" xfId="37" applyFont="1" applyFill="1" applyBorder="1" applyAlignment="1">
      <alignment horizontal="center" vertical="center" wrapText="1" shrinkToFit="1"/>
    </xf>
    <xf numFmtId="0" fontId="36" fillId="0" borderId="26" xfId="0" applyFont="1" applyFill="1" applyBorder="1" applyAlignment="1">
      <alignment horizontal="left" vertical="center" shrinkToFit="1"/>
    </xf>
    <xf numFmtId="0" fontId="34" fillId="26" borderId="30" xfId="60" applyFont="1" applyFill="1" applyBorder="1" applyAlignment="1">
      <alignment horizontal="center" vertical="center" shrinkToFit="1"/>
    </xf>
    <xf numFmtId="0" fontId="34" fillId="26" borderId="30" xfId="60" applyFont="1" applyFill="1" applyBorder="1" applyAlignment="1">
      <alignment horizontal="center" vertical="center" shrinkToFit="1"/>
    </xf>
    <xf numFmtId="0" fontId="36" fillId="0" borderId="10" xfId="0" applyFont="1" applyFill="1" applyBorder="1" applyAlignment="1">
      <alignment horizontal="left" vertical="center" shrinkToFit="1"/>
    </xf>
    <xf numFmtId="0" fontId="36" fillId="0" borderId="26" xfId="0" applyFont="1" applyFill="1" applyBorder="1" applyAlignment="1">
      <alignment horizontal="left" vertical="center" shrinkToFit="1"/>
    </xf>
    <xf numFmtId="0" fontId="36" fillId="0" borderId="44" xfId="0" applyFont="1" applyFill="1" applyBorder="1" applyAlignment="1">
      <alignment horizontal="center" vertical="center" wrapText="1" shrinkToFit="1"/>
    </xf>
    <xf numFmtId="0" fontId="36" fillId="0" borderId="44" xfId="0" applyFont="1" applyFill="1" applyBorder="1" applyAlignment="1">
      <alignment horizontal="center" vertical="center" shrinkToFit="1"/>
    </xf>
    <xf numFmtId="0" fontId="36" fillId="0" borderId="43" xfId="0" applyFont="1" applyFill="1" applyBorder="1" applyAlignment="1">
      <alignment horizontal="center" vertical="center" shrinkToFit="1"/>
    </xf>
    <xf numFmtId="0" fontId="36" fillId="28" borderId="64" xfId="0" applyFont="1" applyFill="1" applyBorder="1" applyAlignment="1">
      <alignment vertical="center" shrinkToFit="1"/>
    </xf>
    <xf numFmtId="41" fontId="36" fillId="28" borderId="58" xfId="37" applyFont="1" applyFill="1" applyBorder="1" applyAlignment="1">
      <alignment vertical="center" shrinkToFit="1"/>
    </xf>
    <xf numFmtId="0" fontId="36" fillId="29" borderId="10" xfId="0" applyFont="1" applyFill="1" applyBorder="1" applyAlignment="1">
      <alignment vertical="center" shrinkToFit="1"/>
    </xf>
    <xf numFmtId="41" fontId="36" fillId="29" borderId="65" xfId="37" applyFont="1" applyFill="1" applyBorder="1" applyAlignment="1">
      <alignment vertical="center" shrinkToFit="1"/>
    </xf>
    <xf numFmtId="0" fontId="36" fillId="30" borderId="10" xfId="0" applyFont="1" applyFill="1" applyBorder="1" applyAlignment="1">
      <alignment vertical="center" shrinkToFit="1"/>
    </xf>
    <xf numFmtId="41" fontId="36" fillId="30" borderId="65" xfId="37" applyFont="1" applyFill="1" applyBorder="1" applyAlignment="1">
      <alignment vertical="center" shrinkToFit="1"/>
    </xf>
    <xf numFmtId="41" fontId="36" fillId="0" borderId="65" xfId="37" applyFont="1" applyFill="1" applyBorder="1" applyAlignment="1">
      <alignment vertical="center" shrinkToFit="1"/>
    </xf>
    <xf numFmtId="41" fontId="36" fillId="0" borderId="66" xfId="37" applyFont="1" applyFill="1" applyBorder="1" applyAlignment="1">
      <alignment vertical="center" shrinkToFit="1"/>
    </xf>
    <xf numFmtId="0" fontId="36" fillId="0" borderId="67" xfId="0" applyFont="1" applyFill="1" applyBorder="1" applyAlignment="1">
      <alignment vertical="center" shrinkToFit="1"/>
    </xf>
    <xf numFmtId="41" fontId="34" fillId="0" borderId="65" xfId="37" applyFont="1" applyBorder="1" applyAlignment="1">
      <alignment vertical="center" shrinkToFit="1"/>
    </xf>
    <xf numFmtId="41" fontId="34" fillId="29" borderId="65" xfId="37" applyFont="1" applyFill="1" applyBorder="1" applyAlignment="1">
      <alignment vertical="center"/>
    </xf>
    <xf numFmtId="0" fontId="36" fillId="30" borderId="10" xfId="0" applyFont="1" applyFill="1" applyBorder="1" applyAlignment="1">
      <alignment vertical="center"/>
    </xf>
    <xf numFmtId="41" fontId="34" fillId="30" borderId="65" xfId="37" applyFont="1" applyFill="1" applyBorder="1" applyAlignment="1">
      <alignment vertical="center"/>
    </xf>
    <xf numFmtId="41" fontId="34" fillId="0" borderId="65" xfId="37" applyFont="1" applyBorder="1" applyAlignment="1">
      <alignment vertical="center"/>
    </xf>
    <xf numFmtId="0" fontId="36" fillId="0" borderId="18" xfId="0" applyFont="1" applyFill="1" applyBorder="1" applyAlignment="1">
      <alignment vertical="center"/>
    </xf>
    <xf numFmtId="0" fontId="36" fillId="0" borderId="28" xfId="0" applyFont="1" applyFill="1" applyBorder="1" applyAlignment="1">
      <alignment vertical="center"/>
    </xf>
    <xf numFmtId="41" fontId="36" fillId="0" borderId="65" xfId="37" applyFont="1" applyFill="1" applyBorder="1" applyAlignment="1">
      <alignment vertical="center"/>
    </xf>
    <xf numFmtId="41" fontId="36" fillId="0" borderId="68" xfId="37" applyFont="1" applyFill="1" applyBorder="1" applyAlignment="1">
      <alignment vertical="center" shrinkToFit="1"/>
    </xf>
    <xf numFmtId="0" fontId="36" fillId="28" borderId="28" xfId="0" applyFont="1" applyFill="1" applyBorder="1" applyAlignment="1">
      <alignment vertical="center" shrinkToFit="1"/>
    </xf>
    <xf numFmtId="41" fontId="36" fillId="28" borderId="68" xfId="37" applyFont="1" applyFill="1" applyBorder="1" applyAlignment="1">
      <alignment vertical="center" shrinkToFit="1"/>
    </xf>
    <xf numFmtId="0" fontId="36" fillId="29" borderId="69" xfId="0" applyFont="1" applyFill="1" applyBorder="1" applyAlignment="1">
      <alignment vertical="center" shrinkToFit="1"/>
    </xf>
    <xf numFmtId="41" fontId="36" fillId="29" borderId="21" xfId="37" applyFont="1" applyFill="1" applyBorder="1" applyAlignment="1">
      <alignment vertical="center" shrinkToFit="1"/>
    </xf>
    <xf numFmtId="0" fontId="36" fillId="30" borderId="69" xfId="0" applyFont="1" applyFill="1" applyBorder="1" applyAlignment="1">
      <alignment vertical="center" shrinkToFit="1"/>
    </xf>
    <xf numFmtId="41" fontId="36" fillId="30" borderId="21" xfId="0" applyNumberFormat="1" applyFont="1" applyFill="1" applyBorder="1" applyAlignment="1">
      <alignment vertical="center" shrinkToFit="1"/>
    </xf>
    <xf numFmtId="41" fontId="36" fillId="0" borderId="65" xfId="0" applyNumberFormat="1" applyFont="1" applyFill="1" applyBorder="1" applyAlignment="1">
      <alignment vertical="center" shrinkToFit="1"/>
    </xf>
    <xf numFmtId="41" fontId="34" fillId="0" borderId="65" xfId="37" applyFont="1" applyFill="1" applyBorder="1" applyAlignment="1">
      <alignment vertical="center"/>
    </xf>
    <xf numFmtId="41" fontId="34" fillId="0" borderId="65" xfId="37" applyFont="1" applyFill="1" applyBorder="1" applyAlignment="1">
      <alignment vertical="center" shrinkToFit="1"/>
    </xf>
    <xf numFmtId="41" fontId="36" fillId="29" borderId="65" xfId="0" applyNumberFormat="1" applyFont="1" applyFill="1" applyBorder="1" applyAlignment="1">
      <alignment vertical="center" shrinkToFit="1"/>
    </xf>
    <xf numFmtId="41" fontId="36" fillId="30" borderId="65" xfId="0" applyNumberFormat="1" applyFont="1" applyFill="1" applyBorder="1" applyAlignment="1">
      <alignment vertical="center" shrinkToFit="1"/>
    </xf>
    <xf numFmtId="0" fontId="34" fillId="0" borderId="26" xfId="0" applyFont="1" applyFill="1" applyBorder="1" applyAlignment="1">
      <alignment vertical="center" shrinkToFit="1"/>
    </xf>
    <xf numFmtId="41" fontId="34" fillId="0" borderId="65" xfId="0" applyNumberFormat="1" applyFont="1" applyFill="1" applyBorder="1" applyAlignment="1">
      <alignment vertical="center" shrinkToFit="1"/>
    </xf>
    <xf numFmtId="0" fontId="36" fillId="0" borderId="10" xfId="0" applyNumberFormat="1" applyFont="1" applyFill="1" applyBorder="1" applyAlignment="1">
      <alignment vertical="center" shrinkToFit="1"/>
    </xf>
    <xf numFmtId="0" fontId="34" fillId="0" borderId="26" xfId="37" applyNumberFormat="1" applyFont="1" applyFill="1" applyBorder="1" applyAlignment="1">
      <alignment vertical="center" shrinkToFit="1"/>
    </xf>
    <xf numFmtId="0" fontId="36" fillId="28" borderId="10" xfId="0" applyFont="1" applyFill="1" applyBorder="1" applyAlignment="1">
      <alignment vertical="center" shrinkToFit="1"/>
    </xf>
    <xf numFmtId="41" fontId="36" fillId="28" borderId="65" xfId="37" applyFont="1" applyFill="1" applyBorder="1" applyAlignment="1">
      <alignment vertical="center" shrinkToFit="1"/>
    </xf>
    <xf numFmtId="0" fontId="36" fillId="0" borderId="27" xfId="0" applyFont="1" applyFill="1" applyBorder="1" applyAlignment="1">
      <alignment vertical="center" shrinkToFit="1"/>
    </xf>
    <xf numFmtId="0" fontId="36" fillId="30" borderId="28" xfId="0" applyFont="1" applyFill="1" applyBorder="1" applyAlignment="1">
      <alignment vertical="center" shrinkToFit="1"/>
    </xf>
    <xf numFmtId="41" fontId="36" fillId="30" borderId="68" xfId="37" applyFont="1" applyFill="1" applyBorder="1" applyAlignment="1">
      <alignment vertical="center" shrinkToFit="1"/>
    </xf>
    <xf numFmtId="41" fontId="34" fillId="0" borderId="66" xfId="37" applyFont="1" applyBorder="1" applyAlignment="1">
      <alignment vertical="center" shrinkToFit="1"/>
    </xf>
    <xf numFmtId="41" fontId="34" fillId="0" borderId="23" xfId="37" applyFont="1" applyBorder="1" applyAlignment="1">
      <alignment vertical="center" shrinkToFit="1"/>
    </xf>
    <xf numFmtId="41" fontId="34" fillId="0" borderId="44" xfId="37" applyFont="1" applyBorder="1" applyAlignment="1">
      <alignment horizontal="center" vertical="center" shrinkToFit="1"/>
    </xf>
    <xf numFmtId="0" fontId="35" fillId="26" borderId="13" xfId="60" applyFont="1" applyFill="1" applyBorder="1" applyAlignment="1">
      <alignment vertical="center" shrinkToFit="1"/>
    </xf>
    <xf numFmtId="176" fontId="35" fillId="26" borderId="71" xfId="37" applyNumberFormat="1" applyFont="1" applyFill="1" applyBorder="1" applyAlignment="1">
      <alignment vertical="center" shrinkToFit="1"/>
    </xf>
    <xf numFmtId="176" fontId="35" fillId="26" borderId="72" xfId="37" applyNumberFormat="1" applyFont="1" applyFill="1" applyBorder="1" applyAlignment="1">
      <alignment vertical="center" shrinkToFit="1"/>
    </xf>
    <xf numFmtId="0" fontId="35" fillId="26" borderId="73" xfId="60" applyFont="1" applyFill="1" applyBorder="1" applyAlignment="1">
      <alignment horizontal="center" vertical="center" shrinkToFit="1"/>
    </xf>
    <xf numFmtId="41" fontId="36" fillId="29" borderId="55" xfId="37" applyFont="1" applyFill="1" applyBorder="1" applyAlignment="1">
      <alignment vertical="center" shrinkToFit="1"/>
    </xf>
    <xf numFmtId="41" fontId="36" fillId="30" borderId="55" xfId="37" applyFont="1" applyFill="1" applyBorder="1" applyAlignment="1">
      <alignment vertical="center" shrinkToFit="1"/>
    </xf>
    <xf numFmtId="41" fontId="36" fillId="0" borderId="55" xfId="37" applyFont="1" applyFill="1" applyBorder="1" applyAlignment="1">
      <alignment vertical="center" shrinkToFit="1"/>
    </xf>
    <xf numFmtId="41" fontId="36" fillId="0" borderId="74" xfId="37" applyFont="1" applyFill="1" applyBorder="1" applyAlignment="1">
      <alignment vertical="center" shrinkToFit="1"/>
    </xf>
    <xf numFmtId="41" fontId="34" fillId="0" borderId="55" xfId="37" applyFont="1" applyBorder="1" applyAlignment="1">
      <alignment vertical="center" shrinkToFit="1"/>
    </xf>
    <xf numFmtId="41" fontId="34" fillId="0" borderId="0" xfId="0" applyNumberFormat="1" applyFont="1" applyAlignment="1">
      <alignment vertical="center"/>
    </xf>
    <xf numFmtId="0" fontId="36" fillId="0" borderId="69" xfId="0" applyFont="1" applyFill="1" applyBorder="1" applyAlignment="1">
      <alignment vertical="center" shrinkToFit="1"/>
    </xf>
    <xf numFmtId="41" fontId="36" fillId="0" borderId="68" xfId="0" applyNumberFormat="1" applyFont="1" applyFill="1" applyBorder="1" applyAlignment="1">
      <alignment vertical="center" shrinkToFit="1"/>
    </xf>
    <xf numFmtId="0" fontId="34" fillId="0" borderId="10" xfId="0" applyFont="1" applyFill="1" applyBorder="1" applyAlignment="1">
      <alignment vertical="center" shrinkToFit="1"/>
    </xf>
    <xf numFmtId="41" fontId="36" fillId="30" borderId="68" xfId="0" applyNumberFormat="1" applyFont="1" applyFill="1" applyBorder="1" applyAlignment="1">
      <alignment vertical="center" shrinkToFit="1"/>
    </xf>
    <xf numFmtId="41" fontId="36" fillId="28" borderId="65" xfId="0" applyNumberFormat="1" applyFont="1" applyFill="1" applyBorder="1" applyAlignment="1">
      <alignment vertical="center" shrinkToFit="1"/>
    </xf>
    <xf numFmtId="0" fontId="36" fillId="29" borderId="28" xfId="0" applyFont="1" applyFill="1" applyBorder="1" applyAlignment="1">
      <alignment vertical="center" shrinkToFit="1"/>
    </xf>
    <xf numFmtId="41" fontId="36" fillId="30" borderId="10" xfId="37" applyFont="1" applyFill="1" applyBorder="1" applyAlignment="1">
      <alignment vertical="center" shrinkToFit="1"/>
    </xf>
    <xf numFmtId="41" fontId="36" fillId="0" borderId="17" xfId="37" applyFont="1" applyFill="1" applyBorder="1" applyAlignment="1">
      <alignment vertical="center" shrinkToFit="1"/>
    </xf>
    <xf numFmtId="41" fontId="36" fillId="0" borderId="24" xfId="37" applyFont="1" applyFill="1" applyBorder="1" applyAlignment="1">
      <alignment vertical="center" shrinkToFit="1"/>
    </xf>
    <xf numFmtId="0" fontId="36" fillId="0" borderId="57" xfId="0" applyFont="1" applyFill="1" applyBorder="1" applyAlignment="1">
      <alignment vertical="center" shrinkToFit="1"/>
    </xf>
    <xf numFmtId="0" fontId="34" fillId="0" borderId="26" xfId="37" applyNumberFormat="1" applyFont="1" applyFill="1" applyBorder="1" applyAlignment="1">
      <alignment horizontal="left" vertical="center" shrinkToFit="1"/>
    </xf>
    <xf numFmtId="0" fontId="36" fillId="32" borderId="18" xfId="0" applyFont="1" applyFill="1" applyBorder="1" applyAlignment="1">
      <alignment vertical="center" shrinkToFit="1"/>
    </xf>
    <xf numFmtId="0" fontId="36" fillId="32" borderId="26" xfId="0" applyFont="1" applyFill="1" applyBorder="1" applyAlignment="1">
      <alignment vertical="center" shrinkToFit="1"/>
    </xf>
    <xf numFmtId="41" fontId="34" fillId="32" borderId="27" xfId="37" applyFont="1" applyFill="1" applyBorder="1" applyAlignment="1">
      <alignment horizontal="center" vertical="center" shrinkToFit="1"/>
    </xf>
    <xf numFmtId="0" fontId="36" fillId="33" borderId="22" xfId="0" applyFont="1" applyFill="1" applyBorder="1" applyAlignment="1">
      <alignment vertical="center" shrinkToFit="1"/>
    </xf>
    <xf numFmtId="0" fontId="36" fillId="33" borderId="0" xfId="0" applyFont="1" applyFill="1" applyBorder="1" applyAlignment="1">
      <alignment vertical="center" shrinkToFit="1"/>
    </xf>
    <xf numFmtId="0" fontId="36" fillId="33" borderId="17" xfId="0" applyFont="1" applyFill="1" applyBorder="1" applyAlignment="1">
      <alignment vertical="center" shrinkToFit="1"/>
    </xf>
    <xf numFmtId="41" fontId="34" fillId="0" borderId="37" xfId="59" quotePrefix="1" applyNumberFormat="1" applyFont="1" applyBorder="1" applyAlignment="1">
      <alignment vertical="center" shrinkToFit="1"/>
    </xf>
    <xf numFmtId="41" fontId="34" fillId="0" borderId="35" xfId="30" applyNumberFormat="1" applyFont="1" applyBorder="1" applyAlignment="1">
      <alignment horizontal="right" vertical="center" shrinkToFit="1"/>
    </xf>
    <xf numFmtId="0" fontId="36" fillId="0" borderId="62" xfId="0" applyFont="1" applyFill="1" applyBorder="1" applyAlignment="1">
      <alignment vertical="center" shrinkToFit="1"/>
    </xf>
    <xf numFmtId="0" fontId="36" fillId="0" borderId="45" xfId="0" applyFont="1" applyFill="1" applyBorder="1" applyAlignment="1">
      <alignment vertical="center" shrinkToFit="1"/>
    </xf>
    <xf numFmtId="0" fontId="36" fillId="0" borderId="44" xfId="0" applyFont="1" applyFill="1" applyBorder="1" applyAlignment="1">
      <alignment horizontal="center" vertical="center" shrinkToFit="1"/>
    </xf>
    <xf numFmtId="0" fontId="36" fillId="0" borderId="43" xfId="0" applyFont="1" applyFill="1" applyBorder="1" applyAlignment="1">
      <alignment horizontal="center" vertical="center" shrinkToFit="1"/>
    </xf>
    <xf numFmtId="41" fontId="34" fillId="0" borderId="55" xfId="37" applyFont="1" applyFill="1" applyBorder="1" applyAlignment="1">
      <alignment vertical="center" shrinkToFit="1"/>
    </xf>
    <xf numFmtId="41" fontId="34" fillId="0" borderId="21" xfId="37" applyFont="1" applyFill="1" applyBorder="1" applyAlignment="1">
      <alignment vertical="center" shrinkToFit="1"/>
    </xf>
    <xf numFmtId="184" fontId="34" fillId="0" borderId="27" xfId="0" applyNumberFormat="1" applyFont="1" applyFill="1" applyBorder="1" applyAlignment="1">
      <alignment horizontal="center" vertical="center" shrinkToFit="1"/>
    </xf>
    <xf numFmtId="41" fontId="35" fillId="27" borderId="42" xfId="30" applyNumberFormat="1" applyFont="1" applyFill="1" applyBorder="1" applyAlignment="1">
      <alignment vertical="center" shrinkToFit="1"/>
    </xf>
    <xf numFmtId="41" fontId="35" fillId="27" borderId="46" xfId="30" applyNumberFormat="1" applyFont="1" applyFill="1" applyBorder="1" applyAlignment="1">
      <alignment vertical="center" shrinkToFit="1"/>
    </xf>
    <xf numFmtId="41" fontId="36" fillId="28" borderId="55" xfId="37" applyFont="1" applyFill="1" applyBorder="1" applyAlignment="1">
      <alignment vertical="center" shrinkToFit="1"/>
    </xf>
    <xf numFmtId="41" fontId="36" fillId="28" borderId="21" xfId="37" applyFont="1" applyFill="1" applyBorder="1" applyAlignment="1">
      <alignment vertical="center" shrinkToFit="1"/>
    </xf>
    <xf numFmtId="41" fontId="34" fillId="0" borderId="55" xfId="0" applyNumberFormat="1" applyFont="1" applyFill="1" applyBorder="1" applyAlignment="1">
      <alignment vertical="center" shrinkToFit="1"/>
    </xf>
    <xf numFmtId="41" fontId="34" fillId="0" borderId="75" xfId="30" applyNumberFormat="1" applyFont="1" applyBorder="1" applyAlignment="1">
      <alignment horizontal="right" vertical="center" shrinkToFit="1"/>
    </xf>
    <xf numFmtId="41" fontId="34" fillId="0" borderId="38" xfId="30" applyNumberFormat="1" applyFont="1" applyBorder="1" applyAlignment="1">
      <alignment horizontal="right" vertical="center" shrinkToFit="1"/>
    </xf>
    <xf numFmtId="41" fontId="36" fillId="29" borderId="55" xfId="0" applyNumberFormat="1" applyFont="1" applyFill="1" applyBorder="1" applyAlignment="1">
      <alignment vertical="center" shrinkToFit="1"/>
    </xf>
    <xf numFmtId="41" fontId="36" fillId="29" borderId="21" xfId="0" applyNumberFormat="1" applyFont="1" applyFill="1" applyBorder="1" applyAlignment="1">
      <alignment vertical="center" shrinkToFit="1"/>
    </xf>
    <xf numFmtId="41" fontId="39" fillId="27" borderId="50" xfId="59" applyNumberFormat="1" applyFont="1" applyFill="1" applyBorder="1" applyAlignment="1">
      <alignment horizontal="center" vertical="center" shrinkToFit="1"/>
    </xf>
    <xf numFmtId="41" fontId="39" fillId="27" borderId="51" xfId="59" applyNumberFormat="1" applyFont="1" applyFill="1" applyBorder="1" applyAlignment="1">
      <alignment horizontal="center" vertical="center" shrinkToFit="1"/>
    </xf>
    <xf numFmtId="41" fontId="39" fillId="27" borderId="52" xfId="59" applyNumberFormat="1" applyFont="1" applyFill="1" applyBorder="1" applyAlignment="1">
      <alignment horizontal="center" vertical="center" shrinkToFit="1"/>
    </xf>
    <xf numFmtId="41" fontId="39" fillId="27" borderId="53" xfId="59" applyNumberFormat="1" applyFont="1" applyFill="1" applyBorder="1" applyAlignment="1">
      <alignment horizontal="center" vertical="center" shrinkToFit="1"/>
    </xf>
    <xf numFmtId="41" fontId="39" fillId="27" borderId="54" xfId="59" applyNumberFormat="1" applyFont="1" applyFill="1" applyBorder="1" applyAlignment="1">
      <alignment horizontal="center" vertical="center" shrinkToFit="1"/>
    </xf>
    <xf numFmtId="0" fontId="34" fillId="31" borderId="56" xfId="0" applyFont="1" applyFill="1" applyBorder="1" applyAlignment="1">
      <alignment horizontal="center" vertical="center"/>
    </xf>
    <xf numFmtId="0" fontId="34" fillId="31" borderId="31" xfId="0" applyFont="1" applyFill="1" applyBorder="1" applyAlignment="1">
      <alignment horizontal="center" vertical="center"/>
    </xf>
    <xf numFmtId="0" fontId="34" fillId="26" borderId="49" xfId="60" applyFont="1" applyFill="1" applyBorder="1" applyAlignment="1">
      <alignment horizontal="center" vertical="center" shrinkToFit="1"/>
    </xf>
    <xf numFmtId="0" fontId="34" fillId="26" borderId="45" xfId="60" applyFont="1" applyFill="1" applyBorder="1" applyAlignment="1">
      <alignment horizontal="center" vertical="center" shrinkToFit="1"/>
    </xf>
    <xf numFmtId="41" fontId="34" fillId="0" borderId="44" xfId="37" applyFont="1" applyBorder="1" applyAlignment="1">
      <alignment horizontal="center" vertical="center" wrapText="1"/>
    </xf>
    <xf numFmtId="41" fontId="34" fillId="0" borderId="59" xfId="37" applyFont="1" applyBorder="1" applyAlignment="1">
      <alignment horizontal="center" vertical="center" wrapText="1"/>
    </xf>
    <xf numFmtId="41" fontId="34" fillId="0" borderId="43" xfId="37" applyFont="1" applyBorder="1" applyAlignment="1">
      <alignment horizontal="center" vertical="center" wrapText="1"/>
    </xf>
    <xf numFmtId="0" fontId="36" fillId="30" borderId="26" xfId="0" applyFont="1" applyFill="1" applyBorder="1" applyAlignment="1">
      <alignment horizontal="left" vertical="center" shrinkToFit="1"/>
    </xf>
    <xf numFmtId="0" fontId="36" fillId="30" borderId="10" xfId="0" applyFont="1" applyFill="1" applyBorder="1" applyAlignment="1">
      <alignment horizontal="left" vertical="center" shrinkToFit="1"/>
    </xf>
    <xf numFmtId="0" fontId="34" fillId="31" borderId="58" xfId="0" applyNumberFormat="1" applyFont="1" applyFill="1" applyBorder="1" applyAlignment="1">
      <alignment horizontal="center" vertical="center" shrinkToFit="1"/>
    </xf>
    <xf numFmtId="0" fontId="34" fillId="31" borderId="48" xfId="0" applyNumberFormat="1" applyFont="1" applyFill="1" applyBorder="1" applyAlignment="1">
      <alignment horizontal="center" vertical="center" shrinkToFit="1"/>
    </xf>
    <xf numFmtId="0" fontId="34" fillId="26" borderId="60" xfId="60" applyFont="1" applyFill="1" applyBorder="1" applyAlignment="1">
      <alignment horizontal="center" vertical="center" shrinkToFit="1"/>
    </xf>
    <xf numFmtId="0" fontId="34" fillId="26" borderId="62" xfId="60" applyFont="1" applyFill="1" applyBorder="1" applyAlignment="1">
      <alignment horizontal="center" vertical="center" shrinkToFit="1"/>
    </xf>
    <xf numFmtId="0" fontId="34" fillId="26" borderId="61" xfId="60" applyFont="1" applyFill="1" applyBorder="1" applyAlignment="1">
      <alignment horizontal="center" vertical="center" shrinkToFit="1"/>
    </xf>
    <xf numFmtId="0" fontId="34" fillId="26" borderId="63" xfId="60" applyFont="1" applyFill="1" applyBorder="1" applyAlignment="1">
      <alignment horizontal="center" vertical="center" shrinkToFit="1"/>
    </xf>
    <xf numFmtId="176" fontId="34" fillId="26" borderId="48" xfId="37" applyNumberFormat="1" applyFont="1" applyFill="1" applyBorder="1" applyAlignment="1">
      <alignment horizontal="center" vertical="center" shrinkToFit="1"/>
    </xf>
    <xf numFmtId="176" fontId="34" fillId="26" borderId="30" xfId="37" applyNumberFormat="1" applyFont="1" applyFill="1" applyBorder="1" applyAlignment="1">
      <alignment horizontal="center" vertical="center" shrinkToFit="1"/>
    </xf>
    <xf numFmtId="0" fontId="36" fillId="28" borderId="57" xfId="0" applyFont="1" applyFill="1" applyBorder="1" applyAlignment="1">
      <alignment horizontal="left" vertical="center" shrinkToFit="1"/>
    </xf>
    <xf numFmtId="0" fontId="36" fillId="28" borderId="28" xfId="0" applyFont="1" applyFill="1" applyBorder="1" applyAlignment="1">
      <alignment horizontal="left" vertical="center" shrinkToFit="1"/>
    </xf>
    <xf numFmtId="0" fontId="36" fillId="29" borderId="25" xfId="0" applyFont="1" applyFill="1" applyBorder="1" applyAlignment="1">
      <alignment horizontal="left" vertical="center" shrinkToFit="1"/>
    </xf>
    <xf numFmtId="0" fontId="36" fillId="29" borderId="28" xfId="0" applyFont="1" applyFill="1" applyBorder="1" applyAlignment="1">
      <alignment horizontal="left" vertical="center" shrinkToFit="1"/>
    </xf>
    <xf numFmtId="0" fontId="36" fillId="0" borderId="10" xfId="0" applyFont="1" applyFill="1" applyBorder="1" applyAlignment="1">
      <alignment horizontal="left" vertical="center" shrinkToFit="1"/>
    </xf>
    <xf numFmtId="0" fontId="36" fillId="29" borderId="26" xfId="0" applyFont="1" applyFill="1" applyBorder="1" applyAlignment="1">
      <alignment horizontal="left" vertical="center" shrinkToFit="1"/>
    </xf>
    <xf numFmtId="0" fontId="36" fillId="29" borderId="10" xfId="0" applyFont="1" applyFill="1" applyBorder="1" applyAlignment="1">
      <alignment horizontal="left" vertical="center" shrinkToFit="1"/>
    </xf>
    <xf numFmtId="0" fontId="36" fillId="0" borderId="26" xfId="0" applyFont="1" applyFill="1" applyBorder="1" applyAlignment="1">
      <alignment horizontal="left" vertical="center" shrinkToFit="1"/>
    </xf>
    <xf numFmtId="0" fontId="36" fillId="0" borderId="25" xfId="0" applyFont="1" applyFill="1" applyBorder="1" applyAlignment="1">
      <alignment horizontal="left" vertical="center" shrinkToFit="1"/>
    </xf>
    <xf numFmtId="0" fontId="36" fillId="0" borderId="28" xfId="0" applyFont="1" applyFill="1" applyBorder="1" applyAlignment="1">
      <alignment horizontal="left" vertical="center" shrinkToFit="1"/>
    </xf>
    <xf numFmtId="41" fontId="34" fillId="0" borderId="44" xfId="37" applyFont="1" applyBorder="1" applyAlignment="1">
      <alignment horizontal="center" vertical="center" wrapText="1" shrinkToFit="1"/>
    </xf>
    <xf numFmtId="41" fontId="34" fillId="0" borderId="43" xfId="37" applyFont="1" applyBorder="1" applyAlignment="1">
      <alignment horizontal="center" vertical="center" wrapText="1" shrinkToFit="1"/>
    </xf>
    <xf numFmtId="0" fontId="36" fillId="30" borderId="25" xfId="0" applyFont="1" applyFill="1" applyBorder="1" applyAlignment="1">
      <alignment horizontal="left" vertical="center" shrinkToFit="1"/>
    </xf>
    <xf numFmtId="0" fontId="36" fillId="30" borderId="28" xfId="0" applyFont="1" applyFill="1" applyBorder="1" applyAlignment="1">
      <alignment horizontal="left" vertical="center" shrinkToFit="1"/>
    </xf>
    <xf numFmtId="0" fontId="35" fillId="26" borderId="70" xfId="60" applyFont="1" applyFill="1" applyBorder="1" applyAlignment="1">
      <alignment horizontal="center" vertical="center" shrinkToFit="1"/>
    </xf>
    <xf numFmtId="0" fontId="35" fillId="26" borderId="13" xfId="60" applyFont="1" applyFill="1" applyBorder="1" applyAlignment="1">
      <alignment horizontal="center" vertical="center" shrinkToFit="1"/>
    </xf>
    <xf numFmtId="0" fontId="36" fillId="28" borderId="55" xfId="0" applyFont="1" applyFill="1" applyBorder="1" applyAlignment="1">
      <alignment horizontal="left" vertical="center" shrinkToFit="1"/>
    </xf>
    <xf numFmtId="0" fontId="36" fillId="28" borderId="10" xfId="0" applyFont="1" applyFill="1" applyBorder="1" applyAlignment="1">
      <alignment horizontal="left" vertical="center" shrinkToFit="1"/>
    </xf>
    <xf numFmtId="0" fontId="36" fillId="29" borderId="18" xfId="0" applyFont="1" applyFill="1" applyBorder="1" applyAlignment="1">
      <alignment horizontal="left" vertical="center" shrinkToFit="1"/>
    </xf>
    <xf numFmtId="0" fontId="36" fillId="30" borderId="18" xfId="0" applyFont="1" applyFill="1" applyBorder="1" applyAlignment="1">
      <alignment horizontal="left" vertical="center" shrinkToFit="1"/>
    </xf>
    <xf numFmtId="0" fontId="36" fillId="0" borderId="18" xfId="0" applyFont="1" applyFill="1" applyBorder="1" applyAlignment="1">
      <alignment horizontal="left" vertical="center" shrinkToFit="1"/>
    </xf>
    <xf numFmtId="0" fontId="36" fillId="0" borderId="44" xfId="0" applyFont="1" applyFill="1" applyBorder="1" applyAlignment="1">
      <alignment horizontal="center" vertical="center" shrinkToFit="1"/>
    </xf>
    <xf numFmtId="0" fontId="36" fillId="0" borderId="59" xfId="0" applyFont="1" applyFill="1" applyBorder="1" applyAlignment="1">
      <alignment horizontal="center" vertical="center" shrinkToFit="1"/>
    </xf>
    <xf numFmtId="0" fontId="36" fillId="0" borderId="43" xfId="0" applyFont="1" applyFill="1" applyBorder="1" applyAlignment="1">
      <alignment horizontal="center" vertical="center" shrinkToFit="1"/>
    </xf>
    <xf numFmtId="0" fontId="34" fillId="31" borderId="58" xfId="0" applyFont="1" applyFill="1" applyBorder="1" applyAlignment="1">
      <alignment horizontal="center" vertical="center" shrinkToFit="1"/>
    </xf>
    <xf numFmtId="0" fontId="34" fillId="31" borderId="48" xfId="0" applyFont="1" applyFill="1" applyBorder="1" applyAlignment="1">
      <alignment horizontal="center" vertical="center" shrinkToFit="1"/>
    </xf>
    <xf numFmtId="41" fontId="34" fillId="26" borderId="61" xfId="37" applyFont="1" applyFill="1" applyBorder="1" applyAlignment="1">
      <alignment horizontal="center" vertical="center" shrinkToFit="1"/>
    </xf>
    <xf numFmtId="41" fontId="34" fillId="26" borderId="63" xfId="37" applyFont="1" applyFill="1" applyBorder="1" applyAlignment="1">
      <alignment horizontal="center" vertical="center" shrinkToFit="1"/>
    </xf>
  </cellXfs>
  <cellStyles count="66">
    <cellStyle name="·표준" xfId="1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Header1" xfId="63"/>
    <cellStyle name="Header2" xfId="64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나쁨" xfId="28" builtinId="27" customBuiltin="1"/>
    <cellStyle name="메모" xfId="29" builtinId="10" customBuiltin="1"/>
    <cellStyle name="백분율" xfId="30" builtinId="5"/>
    <cellStyle name="보통" xfId="31" builtinId="28" customBuiltin="1"/>
    <cellStyle name="분야" xfId="32"/>
    <cellStyle name="분야1" xfId="33"/>
    <cellStyle name="비고" xfId="34"/>
    <cellStyle name="설명 텍스트" xfId="35" builtinId="53" customBuiltin="1"/>
    <cellStyle name="셀 확인" xfId="36" builtinId="23" customBuiltin="1"/>
    <cellStyle name="쉼표 [0]" xfId="37" builtinId="6"/>
    <cellStyle name="스타일 1" xfId="38"/>
    <cellStyle name="연결된 셀" xfId="39" builtinId="24" customBuiltin="1"/>
    <cellStyle name="요약" xfId="40" builtinId="25" customBuiltin="1"/>
    <cellStyle name="입력" xfId="41" builtinId="20" customBuiltin="1"/>
    <cellStyle name="장" xfId="42"/>
    <cellStyle name="제목" xfId="43" builtinId="15" customBuiltin="1"/>
    <cellStyle name="제목 1" xfId="44" builtinId="16" customBuiltin="1"/>
    <cellStyle name="제목 2" xfId="45" builtinId="17" customBuiltin="1"/>
    <cellStyle name="제목 3" xfId="46" builtinId="18" customBuiltin="1"/>
    <cellStyle name="제목 4" xfId="47" builtinId="19" customBuiltin="1"/>
    <cellStyle name="제목1" xfId="48"/>
    <cellStyle name="제목2" xfId="49"/>
    <cellStyle name="좋음" xfId="50" builtinId="26" customBuiltin="1"/>
    <cellStyle name="주석1" xfId="51"/>
    <cellStyle name="주석2" xfId="52"/>
    <cellStyle name="주석3" xfId="53"/>
    <cellStyle name="총계" xfId="54"/>
    <cellStyle name="출력" xfId="55" builtinId="21" customBuiltin="1"/>
    <cellStyle name="콤마 [0]_95" xfId="56"/>
    <cellStyle name="콤마_95" xfId="57"/>
    <cellStyle name="통화 [0] 2" xfId="58"/>
    <cellStyle name="표준" xfId="0" builtinId="0"/>
    <cellStyle name="표준 2" xfId="59"/>
    <cellStyle name="표준 3" xfId="65"/>
    <cellStyle name="표준_사업별예산(토월초)" xfId="60"/>
    <cellStyle name="필드명" xfId="61"/>
    <cellStyle name="헤드1" xfId="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C28" sqref="C28"/>
    </sheetView>
  </sheetViews>
  <sheetFormatPr defaultRowHeight="16.5"/>
  <cols>
    <col min="1" max="1" width="12.77734375" style="67" customWidth="1"/>
    <col min="2" max="3" width="11.109375" style="67" customWidth="1"/>
    <col min="4" max="4" width="8" style="67" customWidth="1"/>
    <col min="5" max="5" width="12.77734375" style="67" customWidth="1"/>
    <col min="6" max="7" width="11.109375" style="67" customWidth="1"/>
    <col min="8" max="8" width="8" style="67" customWidth="1"/>
    <col min="9" max="16384" width="8.88671875" style="67"/>
  </cols>
  <sheetData>
    <row r="1" spans="1:8" ht="17.25" thickBot="1">
      <c r="H1" s="68" t="s">
        <v>34</v>
      </c>
    </row>
    <row r="2" spans="1:8" s="69" customFormat="1" ht="30" customHeight="1">
      <c r="A2" s="236" t="s">
        <v>119</v>
      </c>
      <c r="B2" s="237"/>
      <c r="C2" s="237"/>
      <c r="D2" s="238"/>
      <c r="E2" s="239" t="s">
        <v>120</v>
      </c>
      <c r="F2" s="237"/>
      <c r="G2" s="237"/>
      <c r="H2" s="240"/>
    </row>
    <row r="3" spans="1:8" s="69" customFormat="1" ht="39" customHeight="1">
      <c r="A3" s="70" t="s">
        <v>20</v>
      </c>
      <c r="B3" s="71" t="s">
        <v>211</v>
      </c>
      <c r="C3" s="71" t="s">
        <v>691</v>
      </c>
      <c r="D3" s="71" t="s">
        <v>693</v>
      </c>
      <c r="E3" s="71" t="s">
        <v>20</v>
      </c>
      <c r="F3" s="71" t="s">
        <v>692</v>
      </c>
      <c r="G3" s="71" t="s">
        <v>691</v>
      </c>
      <c r="H3" s="72" t="s">
        <v>693</v>
      </c>
    </row>
    <row r="4" spans="1:8" ht="24" customHeight="1">
      <c r="A4" s="1" t="s">
        <v>21</v>
      </c>
      <c r="B4" s="73">
        <f>'2014학년도세입예산서'!G5</f>
        <v>723000000</v>
      </c>
      <c r="C4" s="73">
        <v>6367856000</v>
      </c>
      <c r="D4" s="219">
        <f>B4-C4</f>
        <v>-5644856000</v>
      </c>
      <c r="E4" s="74" t="s">
        <v>22</v>
      </c>
      <c r="F4" s="73">
        <f>'2014학년도세출예산서'!G5</f>
        <v>5024238000</v>
      </c>
      <c r="G4" s="73">
        <v>4733102000</v>
      </c>
      <c r="H4" s="232">
        <f>F4-G4</f>
        <v>291136000</v>
      </c>
    </row>
    <row r="5" spans="1:8" ht="24" customHeight="1">
      <c r="A5" s="75" t="s">
        <v>23</v>
      </c>
      <c r="B5" s="76">
        <f>'2014학년도세입예산서'!G46</f>
        <v>14635580000</v>
      </c>
      <c r="C5" s="76">
        <v>14109967000</v>
      </c>
      <c r="D5" s="219">
        <f t="shared" ref="D5:D13" si="0">B5-C5</f>
        <v>525613000</v>
      </c>
      <c r="E5" s="77" t="s">
        <v>24</v>
      </c>
      <c r="F5" s="76">
        <f>'2014학년도세출예산서'!G110</f>
        <v>7331713000</v>
      </c>
      <c r="G5" s="76">
        <v>7645011000</v>
      </c>
      <c r="H5" s="233">
        <f t="shared" ref="H5:H10" si="1">F5-G5</f>
        <v>-313298000</v>
      </c>
    </row>
    <row r="6" spans="1:8" ht="24" customHeight="1">
      <c r="A6" s="75" t="s">
        <v>25</v>
      </c>
      <c r="B6" s="76">
        <f>'2014학년도세입예산서'!G137</f>
        <v>4211420000</v>
      </c>
      <c r="C6" s="76">
        <v>1656066000</v>
      </c>
      <c r="D6" s="219">
        <f t="shared" si="0"/>
        <v>2555354000</v>
      </c>
      <c r="E6" s="77" t="s">
        <v>26</v>
      </c>
      <c r="F6" s="76">
        <f>'2014학년도세출예산서'!G216</f>
        <v>688763000</v>
      </c>
      <c r="G6" s="76">
        <v>667482000</v>
      </c>
      <c r="H6" s="233">
        <f t="shared" si="1"/>
        <v>21281000</v>
      </c>
    </row>
    <row r="7" spans="1:8" ht="24" customHeight="1">
      <c r="A7" s="75"/>
      <c r="B7" s="76">
        <v>0</v>
      </c>
      <c r="C7" s="76">
        <v>0</v>
      </c>
      <c r="D7" s="219">
        <f t="shared" si="0"/>
        <v>0</v>
      </c>
      <c r="E7" s="77" t="s">
        <v>27</v>
      </c>
      <c r="F7" s="76">
        <f>'2014학년도세출예산서'!G278</f>
        <v>1548199000</v>
      </c>
      <c r="G7" s="76">
        <v>1563127000</v>
      </c>
      <c r="H7" s="233">
        <f t="shared" si="1"/>
        <v>-14928000</v>
      </c>
    </row>
    <row r="8" spans="1:8" ht="24" customHeight="1">
      <c r="A8" s="75"/>
      <c r="B8" s="76">
        <v>0</v>
      </c>
      <c r="C8" s="76">
        <v>0</v>
      </c>
      <c r="D8" s="219">
        <f t="shared" si="0"/>
        <v>0</v>
      </c>
      <c r="E8" s="77" t="s">
        <v>28</v>
      </c>
      <c r="F8" s="76">
        <f>'2014학년도세출예산서'!G327</f>
        <v>549279000</v>
      </c>
      <c r="G8" s="76">
        <v>446127000</v>
      </c>
      <c r="H8" s="233">
        <f t="shared" si="1"/>
        <v>103152000</v>
      </c>
    </row>
    <row r="9" spans="1:8" ht="24" customHeight="1">
      <c r="A9" s="75"/>
      <c r="B9" s="76">
        <v>0</v>
      </c>
      <c r="C9" s="76">
        <v>0</v>
      </c>
      <c r="D9" s="219">
        <f t="shared" si="0"/>
        <v>0</v>
      </c>
      <c r="E9" s="77" t="s">
        <v>29</v>
      </c>
      <c r="F9" s="76">
        <f>'2014학년도세출예산서'!G393</f>
        <v>783388000</v>
      </c>
      <c r="G9" s="76">
        <v>832040000</v>
      </c>
      <c r="H9" s="233">
        <f t="shared" si="1"/>
        <v>-48652000</v>
      </c>
    </row>
    <row r="10" spans="1:8" ht="24" customHeight="1">
      <c r="A10" s="75"/>
      <c r="B10" s="76">
        <v>0</v>
      </c>
      <c r="C10" s="76">
        <v>0</v>
      </c>
      <c r="D10" s="219">
        <f t="shared" si="0"/>
        <v>0</v>
      </c>
      <c r="E10" s="77" t="s">
        <v>30</v>
      </c>
      <c r="F10" s="76">
        <f>'2014학년도세출예산서'!G468</f>
        <v>3041420000</v>
      </c>
      <c r="G10" s="218">
        <v>5827000000</v>
      </c>
      <c r="H10" s="233">
        <f t="shared" si="1"/>
        <v>-2785580000</v>
      </c>
    </row>
    <row r="11" spans="1:8" ht="24" customHeight="1">
      <c r="A11" s="75"/>
      <c r="B11" s="76">
        <v>0</v>
      </c>
      <c r="C11" s="76">
        <v>0</v>
      </c>
      <c r="D11" s="219">
        <f t="shared" si="0"/>
        <v>0</v>
      </c>
      <c r="E11" s="77" t="s">
        <v>31</v>
      </c>
      <c r="F11" s="76">
        <f>'2014학년도세출예산서'!G477</f>
        <v>603000000</v>
      </c>
      <c r="G11" s="76">
        <v>420000000</v>
      </c>
      <c r="H11" s="78">
        <f>F11-G11</f>
        <v>183000000</v>
      </c>
    </row>
    <row r="12" spans="1:8" ht="24" customHeight="1">
      <c r="A12" s="75"/>
      <c r="B12" s="76">
        <v>0</v>
      </c>
      <c r="C12" s="76">
        <v>0</v>
      </c>
      <c r="D12" s="219">
        <f t="shared" si="0"/>
        <v>0</v>
      </c>
      <c r="E12" s="77"/>
      <c r="F12" s="76">
        <v>0</v>
      </c>
      <c r="G12" s="76">
        <v>0</v>
      </c>
      <c r="H12" s="78">
        <f>F12-G12</f>
        <v>0</v>
      </c>
    </row>
    <row r="13" spans="1:8" ht="24" customHeight="1">
      <c r="A13" s="75"/>
      <c r="B13" s="76">
        <v>0</v>
      </c>
      <c r="C13" s="76">
        <v>0</v>
      </c>
      <c r="D13" s="219">
        <f t="shared" si="0"/>
        <v>0</v>
      </c>
      <c r="E13" s="77"/>
      <c r="F13" s="79">
        <v>0</v>
      </c>
      <c r="G13" s="79">
        <v>0</v>
      </c>
      <c r="H13" s="80">
        <f>F13-G13</f>
        <v>0</v>
      </c>
    </row>
    <row r="14" spans="1:8" ht="24" customHeight="1" thickBot="1">
      <c r="A14" s="81" t="s">
        <v>32</v>
      </c>
      <c r="B14" s="82">
        <f>SUM(B4:B13)</f>
        <v>19570000000</v>
      </c>
      <c r="C14" s="82">
        <f>SUM(C4:C13)</f>
        <v>22133889000</v>
      </c>
      <c r="D14" s="227">
        <f>B14-C14</f>
        <v>-2563889000</v>
      </c>
      <c r="E14" s="83" t="s">
        <v>33</v>
      </c>
      <c r="F14" s="82">
        <f>SUM(F4:F13)</f>
        <v>19570000000</v>
      </c>
      <c r="G14" s="82">
        <f>SUM(G4:G13)</f>
        <v>22133889000</v>
      </c>
      <c r="H14" s="228">
        <f>F14-G14</f>
        <v>-2563889000</v>
      </c>
    </row>
  </sheetData>
  <mergeCells count="2">
    <mergeCell ref="A2:D2"/>
    <mergeCell ref="E2:H2"/>
  </mergeCells>
  <phoneticPr fontId="3" type="noConversion"/>
  <printOptions horizontalCentered="1"/>
  <pageMargins left="0.23622047244094491" right="0.23622047244094491" top="0.94488188976377963" bottom="0.74803149606299213" header="0.43307086614173229" footer="0.31496062992125984"/>
  <pageSetup paperSize="9" orientation="portrait" verticalDpi="0" r:id="rId1"/>
  <headerFooter>
    <oddHeader>&amp;C&amp;"맑은 고딕,굵게"2014학년도 학교회계 본예산 총괄표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8"/>
  <sheetViews>
    <sheetView zoomScaleNormal="100" workbookViewId="0">
      <pane xSplit="6" ySplit="4" topLeftCell="G133" activePane="bottomRight" state="frozen"/>
      <selection pane="topRight" activeCell="G1" sqref="G1"/>
      <selection pane="bottomLeft" activeCell="A5" sqref="A5"/>
      <selection pane="bottomRight" activeCell="E134" sqref="E134"/>
    </sheetView>
  </sheetViews>
  <sheetFormatPr defaultRowHeight="22.5" customHeight="1"/>
  <cols>
    <col min="1" max="4" width="3.5546875" style="6" customWidth="1"/>
    <col min="5" max="5" width="13.5546875" style="6" customWidth="1"/>
    <col min="6" max="6" width="13.109375" style="6" customWidth="1"/>
    <col min="7" max="8" width="10.6640625" style="6" customWidth="1"/>
    <col min="9" max="9" width="8.88671875" style="84" customWidth="1"/>
    <col min="10" max="10" width="15" style="58" customWidth="1"/>
    <col min="11" max="11" width="9.77734375" style="117" bestFit="1" customWidth="1"/>
    <col min="12" max="16384" width="8.88671875" style="6"/>
  </cols>
  <sheetData>
    <row r="1" spans="1:11" ht="18.75" customHeight="1">
      <c r="A1" s="2"/>
      <c r="B1" s="2"/>
      <c r="C1" s="2"/>
      <c r="D1" s="3"/>
      <c r="E1" s="2"/>
      <c r="F1" s="3"/>
      <c r="G1" s="3"/>
      <c r="H1" s="4"/>
      <c r="J1" s="5"/>
    </row>
    <row r="2" spans="1:11" ht="18.75" customHeight="1">
      <c r="A2" s="7"/>
      <c r="B2" s="8"/>
      <c r="C2" s="9"/>
      <c r="D2" s="9"/>
      <c r="E2" s="9"/>
      <c r="F2" s="10"/>
      <c r="G2" s="10"/>
      <c r="H2" s="9"/>
      <c r="J2" s="66" t="s">
        <v>216</v>
      </c>
    </row>
    <row r="3" spans="1:11" ht="18.75" customHeight="1">
      <c r="A3" s="250" t="s">
        <v>217</v>
      </c>
      <c r="B3" s="251"/>
      <c r="C3" s="251"/>
      <c r="D3" s="251"/>
      <c r="E3" s="251"/>
      <c r="F3" s="252" t="s">
        <v>218</v>
      </c>
      <c r="G3" s="254" t="s">
        <v>321</v>
      </c>
      <c r="H3" s="256" t="s">
        <v>323</v>
      </c>
      <c r="I3" s="241" t="s">
        <v>35</v>
      </c>
      <c r="J3" s="243" t="s">
        <v>219</v>
      </c>
    </row>
    <row r="4" spans="1:11" ht="18.75" customHeight="1">
      <c r="A4" s="11" t="s">
        <v>220</v>
      </c>
      <c r="B4" s="143" t="s">
        <v>221</v>
      </c>
      <c r="C4" s="143" t="s">
        <v>222</v>
      </c>
      <c r="D4" s="143" t="s">
        <v>223</v>
      </c>
      <c r="E4" s="143" t="s">
        <v>224</v>
      </c>
      <c r="F4" s="253"/>
      <c r="G4" s="255"/>
      <c r="H4" s="257"/>
      <c r="I4" s="242"/>
      <c r="J4" s="244"/>
    </row>
    <row r="5" spans="1:11" ht="18.75" customHeight="1">
      <c r="A5" s="258" t="s">
        <v>225</v>
      </c>
      <c r="B5" s="259"/>
      <c r="C5" s="259"/>
      <c r="D5" s="259"/>
      <c r="E5" s="259"/>
      <c r="F5" s="150"/>
      <c r="G5" s="151">
        <f>G6+G34+G11</f>
        <v>723000000</v>
      </c>
      <c r="H5" s="119">
        <f>H6+H34+H11</f>
        <v>6367856000</v>
      </c>
      <c r="I5" s="119">
        <f>I6+I34+I11</f>
        <v>-5644856000</v>
      </c>
      <c r="J5" s="120"/>
    </row>
    <row r="6" spans="1:11" ht="18.75" customHeight="1">
      <c r="A6" s="13"/>
      <c r="B6" s="260" t="s">
        <v>226</v>
      </c>
      <c r="C6" s="261"/>
      <c r="D6" s="261"/>
      <c r="E6" s="261"/>
      <c r="F6" s="152"/>
      <c r="G6" s="195">
        <f t="shared" ref="G6:I7" si="0">G7</f>
        <v>0</v>
      </c>
      <c r="H6" s="14">
        <f t="shared" si="0"/>
        <v>160000</v>
      </c>
      <c r="I6" s="14">
        <f>I7</f>
        <v>-160000</v>
      </c>
      <c r="J6" s="86"/>
    </row>
    <row r="7" spans="1:11" ht="18.75" customHeight="1">
      <c r="A7" s="15"/>
      <c r="B7" s="16"/>
      <c r="C7" s="248" t="s">
        <v>227</v>
      </c>
      <c r="D7" s="249"/>
      <c r="E7" s="249"/>
      <c r="F7" s="154"/>
      <c r="G7" s="196">
        <f t="shared" si="0"/>
        <v>0</v>
      </c>
      <c r="H7" s="17">
        <f t="shared" si="0"/>
        <v>160000</v>
      </c>
      <c r="I7" s="17">
        <f t="shared" si="0"/>
        <v>-160000</v>
      </c>
      <c r="J7" s="87"/>
    </row>
    <row r="8" spans="1:11" s="23" customFormat="1" ht="18.75" customHeight="1">
      <c r="A8" s="15"/>
      <c r="B8" s="18"/>
      <c r="C8" s="19"/>
      <c r="D8" s="262" t="s">
        <v>122</v>
      </c>
      <c r="E8" s="262"/>
      <c r="F8" s="59"/>
      <c r="G8" s="197">
        <f>SUM(G9:G10)</f>
        <v>0</v>
      </c>
      <c r="H8" s="21">
        <f>SUM(H9:H10)</f>
        <v>160000</v>
      </c>
      <c r="I8" s="21">
        <f>SUM(I9:I10)</f>
        <v>-160000</v>
      </c>
      <c r="J8" s="88"/>
      <c r="K8" s="115"/>
    </row>
    <row r="9" spans="1:11" s="23" customFormat="1" ht="18.75" customHeight="1">
      <c r="A9" s="15"/>
      <c r="B9" s="18"/>
      <c r="C9" s="24"/>
      <c r="D9" s="25"/>
      <c r="E9" s="20" t="s">
        <v>123</v>
      </c>
      <c r="F9" s="16" t="s">
        <v>124</v>
      </c>
      <c r="G9" s="198">
        <v>0</v>
      </c>
      <c r="H9" s="39">
        <v>160000</v>
      </c>
      <c r="I9" s="22">
        <f>G9-H9</f>
        <v>-160000</v>
      </c>
      <c r="J9" s="89" t="s">
        <v>228</v>
      </c>
      <c r="K9" s="115"/>
    </row>
    <row r="10" spans="1:11" s="23" customFormat="1" ht="18.75" customHeight="1">
      <c r="A10" s="15"/>
      <c r="B10" s="18"/>
      <c r="C10" s="35"/>
      <c r="D10" s="25"/>
      <c r="E10" s="35" t="s">
        <v>202</v>
      </c>
      <c r="F10" s="158" t="s">
        <v>203</v>
      </c>
      <c r="G10" s="199">
        <v>0</v>
      </c>
      <c r="H10" s="27">
        <v>0</v>
      </c>
      <c r="I10" s="22">
        <f>G10-H10</f>
        <v>0</v>
      </c>
      <c r="J10" s="89"/>
      <c r="K10" s="115"/>
    </row>
    <row r="11" spans="1:11" s="98" customFormat="1" ht="18.75" customHeight="1">
      <c r="A11" s="99"/>
      <c r="B11" s="107" t="s">
        <v>112</v>
      </c>
      <c r="C11" s="108"/>
      <c r="D11" s="108"/>
      <c r="E11" s="108"/>
      <c r="F11" s="108"/>
      <c r="G11" s="160">
        <f t="shared" ref="G11:I12" si="1">G12</f>
        <v>0</v>
      </c>
      <c r="H11" s="100">
        <f t="shared" si="1"/>
        <v>871800000</v>
      </c>
      <c r="I11" s="100">
        <f t="shared" si="1"/>
        <v>-871800000</v>
      </c>
      <c r="J11" s="101"/>
      <c r="K11" s="115"/>
    </row>
    <row r="12" spans="1:11" s="98" customFormat="1" ht="18.75" customHeight="1">
      <c r="A12" s="99"/>
      <c r="B12" s="102"/>
      <c r="C12" s="111" t="s">
        <v>125</v>
      </c>
      <c r="D12" s="103"/>
      <c r="E12" s="103"/>
      <c r="F12" s="161"/>
      <c r="G12" s="162">
        <f t="shared" si="1"/>
        <v>0</v>
      </c>
      <c r="H12" s="121">
        <f>H13</f>
        <v>871800000</v>
      </c>
      <c r="I12" s="121">
        <f t="shared" si="1"/>
        <v>-871800000</v>
      </c>
      <c r="J12" s="122"/>
      <c r="K12" s="115"/>
    </row>
    <row r="13" spans="1:11" s="98" customFormat="1" ht="18.75" customHeight="1">
      <c r="A13" s="99"/>
      <c r="B13" s="102"/>
      <c r="C13" s="102"/>
      <c r="D13" s="110" t="s">
        <v>126</v>
      </c>
      <c r="E13" s="109"/>
      <c r="F13" s="109"/>
      <c r="G13" s="163">
        <f>SUM(G14:G33)</f>
        <v>0</v>
      </c>
      <c r="H13" s="104">
        <f>SUM(H14:H33)</f>
        <v>871800000</v>
      </c>
      <c r="I13" s="104">
        <f>SUM(I14:I33)</f>
        <v>-871800000</v>
      </c>
      <c r="J13" s="105" t="s">
        <v>176</v>
      </c>
      <c r="K13" s="115"/>
    </row>
    <row r="14" spans="1:11" s="98" customFormat="1" ht="18.75" customHeight="1">
      <c r="A14" s="99"/>
      <c r="B14" s="102"/>
      <c r="C14" s="102"/>
      <c r="D14" s="102"/>
      <c r="E14" s="164" t="s">
        <v>113</v>
      </c>
      <c r="F14" s="165" t="s">
        <v>229</v>
      </c>
      <c r="G14" s="166">
        <v>0</v>
      </c>
      <c r="H14" s="104">
        <v>700000</v>
      </c>
      <c r="I14" s="22">
        <f>G14-H14</f>
        <v>-700000</v>
      </c>
      <c r="J14" s="245" t="s">
        <v>324</v>
      </c>
      <c r="K14" s="115"/>
    </row>
    <row r="15" spans="1:11" s="23" customFormat="1" ht="18.75" customHeight="1">
      <c r="A15" s="15"/>
      <c r="B15" s="18"/>
      <c r="C15" s="18"/>
      <c r="D15" s="18"/>
      <c r="E15" s="28" t="s">
        <v>113</v>
      </c>
      <c r="F15" s="26" t="s">
        <v>230</v>
      </c>
      <c r="G15" s="167">
        <v>0</v>
      </c>
      <c r="H15" s="27">
        <v>500000</v>
      </c>
      <c r="I15" s="22">
        <f t="shared" ref="I15:I33" si="2">G15-H15</f>
        <v>-500000</v>
      </c>
      <c r="J15" s="246"/>
      <c r="K15" s="115"/>
    </row>
    <row r="16" spans="1:11" s="23" customFormat="1" ht="18.75" customHeight="1">
      <c r="A16" s="15"/>
      <c r="B16" s="18"/>
      <c r="C16" s="18"/>
      <c r="D16" s="18"/>
      <c r="E16" s="28" t="s">
        <v>113</v>
      </c>
      <c r="F16" s="26" t="s">
        <v>114</v>
      </c>
      <c r="G16" s="167">
        <v>0</v>
      </c>
      <c r="H16" s="27">
        <v>15000000</v>
      </c>
      <c r="I16" s="22">
        <f t="shared" si="2"/>
        <v>-15000000</v>
      </c>
      <c r="J16" s="246"/>
      <c r="K16" s="115"/>
    </row>
    <row r="17" spans="1:11" s="23" customFormat="1" ht="18.75" customHeight="1">
      <c r="A17" s="15"/>
      <c r="B17" s="18"/>
      <c r="C17" s="18"/>
      <c r="D17" s="18"/>
      <c r="E17" s="28" t="s">
        <v>113</v>
      </c>
      <c r="F17" s="26" t="s">
        <v>115</v>
      </c>
      <c r="G17" s="167">
        <v>0</v>
      </c>
      <c r="H17" s="27">
        <v>409000</v>
      </c>
      <c r="I17" s="22">
        <f t="shared" si="2"/>
        <v>-409000</v>
      </c>
      <c r="J17" s="246"/>
      <c r="K17" s="115"/>
    </row>
    <row r="18" spans="1:11" s="23" customFormat="1" ht="18.75" customHeight="1">
      <c r="A18" s="15"/>
      <c r="B18" s="18"/>
      <c r="C18" s="18"/>
      <c r="D18" s="18"/>
      <c r="E18" s="28" t="s">
        <v>113</v>
      </c>
      <c r="F18" s="26" t="s">
        <v>231</v>
      </c>
      <c r="G18" s="167">
        <v>0</v>
      </c>
      <c r="H18" s="27">
        <v>205000</v>
      </c>
      <c r="I18" s="22">
        <f t="shared" si="2"/>
        <v>-205000</v>
      </c>
      <c r="J18" s="246"/>
      <c r="K18" s="115"/>
    </row>
    <row r="19" spans="1:11" s="23" customFormat="1" ht="18.75" customHeight="1">
      <c r="A19" s="15"/>
      <c r="B19" s="18"/>
      <c r="C19" s="18"/>
      <c r="D19" s="18"/>
      <c r="E19" s="28" t="s">
        <v>113</v>
      </c>
      <c r="F19" s="26" t="s">
        <v>177</v>
      </c>
      <c r="G19" s="167">
        <v>0</v>
      </c>
      <c r="H19" s="27">
        <v>29724000</v>
      </c>
      <c r="I19" s="22">
        <f t="shared" si="2"/>
        <v>-29724000</v>
      </c>
      <c r="J19" s="246"/>
      <c r="K19" s="115"/>
    </row>
    <row r="20" spans="1:11" s="23" customFormat="1" ht="18.75" customHeight="1">
      <c r="A20" s="15"/>
      <c r="B20" s="18"/>
      <c r="C20" s="18"/>
      <c r="D20" s="18"/>
      <c r="E20" s="28" t="s">
        <v>113</v>
      </c>
      <c r="F20" s="26" t="s">
        <v>232</v>
      </c>
      <c r="G20" s="167">
        <v>0</v>
      </c>
      <c r="H20" s="27">
        <v>1000000</v>
      </c>
      <c r="I20" s="22">
        <f t="shared" si="2"/>
        <v>-1000000</v>
      </c>
      <c r="J20" s="246"/>
      <c r="K20" s="115"/>
    </row>
    <row r="21" spans="1:11" s="23" customFormat="1" ht="18.75" customHeight="1">
      <c r="A21" s="15"/>
      <c r="B21" s="18"/>
      <c r="C21" s="18"/>
      <c r="D21" s="24"/>
      <c r="E21" s="28" t="s">
        <v>113</v>
      </c>
      <c r="F21" s="26" t="s">
        <v>233</v>
      </c>
      <c r="G21" s="167">
        <v>0</v>
      </c>
      <c r="H21" s="27">
        <v>1000000</v>
      </c>
      <c r="I21" s="22">
        <f t="shared" si="2"/>
        <v>-1000000</v>
      </c>
      <c r="J21" s="246"/>
      <c r="K21" s="115"/>
    </row>
    <row r="22" spans="1:11" s="23" customFormat="1" ht="18.75" customHeight="1">
      <c r="A22" s="15"/>
      <c r="B22" s="18"/>
      <c r="C22" s="18"/>
      <c r="D22" s="24"/>
      <c r="E22" s="28" t="s">
        <v>113</v>
      </c>
      <c r="F22" s="26" t="s">
        <v>234</v>
      </c>
      <c r="G22" s="167">
        <v>0</v>
      </c>
      <c r="H22" s="27">
        <v>1000000</v>
      </c>
      <c r="I22" s="22">
        <f t="shared" si="2"/>
        <v>-1000000</v>
      </c>
      <c r="J22" s="246"/>
      <c r="K22" s="115"/>
    </row>
    <row r="23" spans="1:11" s="23" customFormat="1" ht="18.75" customHeight="1">
      <c r="A23" s="15"/>
      <c r="B23" s="18"/>
      <c r="C23" s="18"/>
      <c r="D23" s="24"/>
      <c r="E23" s="28" t="s">
        <v>113</v>
      </c>
      <c r="F23" s="26" t="s">
        <v>235</v>
      </c>
      <c r="G23" s="167">
        <v>0</v>
      </c>
      <c r="H23" s="27">
        <v>1950000</v>
      </c>
      <c r="I23" s="22">
        <f t="shared" si="2"/>
        <v>-1950000</v>
      </c>
      <c r="J23" s="246"/>
      <c r="K23" s="115"/>
    </row>
    <row r="24" spans="1:11" s="23" customFormat="1" ht="18.75" customHeight="1">
      <c r="A24" s="15"/>
      <c r="B24" s="18"/>
      <c r="C24" s="24"/>
      <c r="D24" s="25"/>
      <c r="E24" s="28" t="s">
        <v>113</v>
      </c>
      <c r="F24" s="26" t="s">
        <v>236</v>
      </c>
      <c r="G24" s="167">
        <v>0</v>
      </c>
      <c r="H24" s="27">
        <v>105000</v>
      </c>
      <c r="I24" s="22">
        <f t="shared" si="2"/>
        <v>-105000</v>
      </c>
      <c r="J24" s="246"/>
      <c r="K24" s="115"/>
    </row>
    <row r="25" spans="1:11" s="23" customFormat="1" ht="18.75" customHeight="1">
      <c r="A25" s="15"/>
      <c r="B25" s="18"/>
      <c r="C25" s="24"/>
      <c r="D25" s="25"/>
      <c r="E25" s="28" t="s">
        <v>113</v>
      </c>
      <c r="F25" s="26" t="s">
        <v>201</v>
      </c>
      <c r="G25" s="167">
        <v>0</v>
      </c>
      <c r="H25" s="27">
        <v>176000</v>
      </c>
      <c r="I25" s="22">
        <f t="shared" si="2"/>
        <v>-176000</v>
      </c>
      <c r="J25" s="246"/>
      <c r="K25" s="115"/>
    </row>
    <row r="26" spans="1:11" s="23" customFormat="1" ht="18.75" customHeight="1">
      <c r="A26" s="15"/>
      <c r="B26" s="18"/>
      <c r="C26" s="24"/>
      <c r="D26" s="25"/>
      <c r="E26" s="28" t="s">
        <v>113</v>
      </c>
      <c r="F26" s="26" t="s">
        <v>193</v>
      </c>
      <c r="G26" s="167">
        <v>0</v>
      </c>
      <c r="H26" s="27">
        <v>440423000</v>
      </c>
      <c r="I26" s="22">
        <f t="shared" si="2"/>
        <v>-440423000</v>
      </c>
      <c r="J26" s="246"/>
      <c r="K26" s="115"/>
    </row>
    <row r="27" spans="1:11" s="23" customFormat="1" ht="18.75" customHeight="1">
      <c r="A27" s="15"/>
      <c r="B27" s="18"/>
      <c r="C27" s="24"/>
      <c r="D27" s="25"/>
      <c r="E27" s="28" t="s">
        <v>113</v>
      </c>
      <c r="F27" s="26" t="s">
        <v>194</v>
      </c>
      <c r="G27" s="167">
        <v>0</v>
      </c>
      <c r="H27" s="27">
        <v>10973000</v>
      </c>
      <c r="I27" s="22">
        <f t="shared" si="2"/>
        <v>-10973000</v>
      </c>
      <c r="J27" s="246"/>
      <c r="K27" s="115"/>
    </row>
    <row r="28" spans="1:11" s="23" customFormat="1" ht="18.75" customHeight="1">
      <c r="A28" s="15"/>
      <c r="B28" s="18"/>
      <c r="C28" s="24"/>
      <c r="D28" s="25"/>
      <c r="E28" s="28" t="s">
        <v>113</v>
      </c>
      <c r="F28" s="26" t="s">
        <v>195</v>
      </c>
      <c r="G28" s="167">
        <v>0</v>
      </c>
      <c r="H28" s="27">
        <v>236183000</v>
      </c>
      <c r="I28" s="22">
        <f t="shared" si="2"/>
        <v>-236183000</v>
      </c>
      <c r="J28" s="246"/>
      <c r="K28" s="115"/>
    </row>
    <row r="29" spans="1:11" s="23" customFormat="1" ht="18.75" customHeight="1">
      <c r="A29" s="15"/>
      <c r="B29" s="18"/>
      <c r="C29" s="24"/>
      <c r="D29" s="25"/>
      <c r="E29" s="28" t="s">
        <v>113</v>
      </c>
      <c r="F29" s="26" t="s">
        <v>196</v>
      </c>
      <c r="G29" s="167">
        <v>0</v>
      </c>
      <c r="H29" s="27">
        <v>72590000</v>
      </c>
      <c r="I29" s="22">
        <f t="shared" si="2"/>
        <v>-72590000</v>
      </c>
      <c r="J29" s="246"/>
      <c r="K29" s="115"/>
    </row>
    <row r="30" spans="1:11" s="23" customFormat="1" ht="18.75" customHeight="1">
      <c r="A30" s="15"/>
      <c r="B30" s="18"/>
      <c r="C30" s="24"/>
      <c r="D30" s="25"/>
      <c r="E30" s="28" t="s">
        <v>113</v>
      </c>
      <c r="F30" s="26" t="s">
        <v>197</v>
      </c>
      <c r="G30" s="167">
        <v>0</v>
      </c>
      <c r="H30" s="27">
        <v>35000000</v>
      </c>
      <c r="I30" s="22">
        <f t="shared" si="2"/>
        <v>-35000000</v>
      </c>
      <c r="J30" s="246"/>
      <c r="K30" s="115"/>
    </row>
    <row r="31" spans="1:11" s="23" customFormat="1" ht="18.75" customHeight="1">
      <c r="A31" s="15"/>
      <c r="B31" s="18"/>
      <c r="C31" s="24"/>
      <c r="D31" s="25"/>
      <c r="E31" s="28" t="s">
        <v>113</v>
      </c>
      <c r="F31" s="26" t="s">
        <v>198</v>
      </c>
      <c r="G31" s="167">
        <v>0</v>
      </c>
      <c r="H31" s="27">
        <v>3500000</v>
      </c>
      <c r="I31" s="22">
        <f t="shared" si="2"/>
        <v>-3500000</v>
      </c>
      <c r="J31" s="246"/>
      <c r="K31" s="115"/>
    </row>
    <row r="32" spans="1:11" s="23" customFormat="1" ht="18.75" customHeight="1">
      <c r="A32" s="15"/>
      <c r="B32" s="18"/>
      <c r="C32" s="24"/>
      <c r="D32" s="25"/>
      <c r="E32" s="28" t="s">
        <v>113</v>
      </c>
      <c r="F32" s="26" t="s">
        <v>199</v>
      </c>
      <c r="G32" s="167">
        <v>0</v>
      </c>
      <c r="H32" s="27">
        <v>2138000</v>
      </c>
      <c r="I32" s="22">
        <f t="shared" si="2"/>
        <v>-2138000</v>
      </c>
      <c r="J32" s="246"/>
      <c r="K32" s="115"/>
    </row>
    <row r="33" spans="1:11" s="23" customFormat="1" ht="18.75" customHeight="1">
      <c r="A33" s="15"/>
      <c r="B33" s="18"/>
      <c r="C33" s="35"/>
      <c r="D33" s="25"/>
      <c r="E33" s="28" t="s">
        <v>113</v>
      </c>
      <c r="F33" s="26" t="s">
        <v>200</v>
      </c>
      <c r="G33" s="167">
        <v>0</v>
      </c>
      <c r="H33" s="27">
        <v>19224000</v>
      </c>
      <c r="I33" s="22">
        <f t="shared" si="2"/>
        <v>-19224000</v>
      </c>
      <c r="J33" s="247"/>
      <c r="K33" s="115"/>
    </row>
    <row r="34" spans="1:11" ht="18.75" customHeight="1">
      <c r="A34" s="13"/>
      <c r="B34" s="263" t="s">
        <v>127</v>
      </c>
      <c r="C34" s="264"/>
      <c r="D34" s="264"/>
      <c r="E34" s="264"/>
      <c r="F34" s="152"/>
      <c r="G34" s="153">
        <f>G35+G43+G40</f>
        <v>723000000</v>
      </c>
      <c r="H34" s="14">
        <f>H35+H43+H40</f>
        <v>5495896000</v>
      </c>
      <c r="I34" s="14">
        <f>I35+I43+I40</f>
        <v>-4772896000</v>
      </c>
      <c r="J34" s="86"/>
    </row>
    <row r="35" spans="1:11" ht="18.75" customHeight="1">
      <c r="A35" s="15"/>
      <c r="B35" s="16"/>
      <c r="C35" s="248" t="s">
        <v>128</v>
      </c>
      <c r="D35" s="249"/>
      <c r="E35" s="249"/>
      <c r="F35" s="154"/>
      <c r="G35" s="155">
        <f>G38+G36</f>
        <v>723000000</v>
      </c>
      <c r="H35" s="17">
        <f>H38+H36</f>
        <v>5223000000</v>
      </c>
      <c r="I35" s="17">
        <f>I38+I36</f>
        <v>-4500000000</v>
      </c>
      <c r="J35" s="87"/>
    </row>
    <row r="36" spans="1:11" s="23" customFormat="1" ht="18.75" customHeight="1">
      <c r="A36" s="15"/>
      <c r="B36" s="18"/>
      <c r="C36" s="24"/>
      <c r="D36" s="262" t="s">
        <v>130</v>
      </c>
      <c r="E36" s="262"/>
      <c r="F36" s="59"/>
      <c r="G36" s="156">
        <f>SUM(G37:G37)</f>
        <v>364413000</v>
      </c>
      <c r="H36" s="21">
        <f>SUM(H37:H37)</f>
        <v>322269000</v>
      </c>
      <c r="I36" s="21">
        <f>SUM(I37:I37)</f>
        <v>42144000</v>
      </c>
      <c r="J36" s="88"/>
      <c r="K36" s="115"/>
    </row>
    <row r="37" spans="1:11" s="23" customFormat="1" ht="18.75" customHeight="1">
      <c r="A37" s="15"/>
      <c r="B37" s="18"/>
      <c r="C37" s="24"/>
      <c r="D37" s="25"/>
      <c r="E37" s="26" t="s">
        <v>130</v>
      </c>
      <c r="F37" s="28" t="s">
        <v>130</v>
      </c>
      <c r="G37" s="176">
        <v>364413000</v>
      </c>
      <c r="H37" s="27">
        <v>322269000</v>
      </c>
      <c r="I37" s="22">
        <f t="shared" ref="I37" si="3">G37-H37</f>
        <v>42144000</v>
      </c>
      <c r="J37" s="93" t="s">
        <v>695</v>
      </c>
      <c r="K37" s="115"/>
    </row>
    <row r="38" spans="1:11" s="23" customFormat="1" ht="18.75" customHeight="1">
      <c r="A38" s="15"/>
      <c r="B38" s="18"/>
      <c r="C38" s="24"/>
      <c r="D38" s="262" t="s">
        <v>129</v>
      </c>
      <c r="E38" s="262"/>
      <c r="F38" s="59"/>
      <c r="G38" s="156">
        <f>G39</f>
        <v>358587000</v>
      </c>
      <c r="H38" s="21">
        <f>H39</f>
        <v>4900731000</v>
      </c>
      <c r="I38" s="21">
        <f>I39</f>
        <v>-4542144000</v>
      </c>
      <c r="J38" s="88"/>
      <c r="K38" s="115"/>
    </row>
    <row r="39" spans="1:11" s="23" customFormat="1" ht="18.75" customHeight="1">
      <c r="A39" s="15"/>
      <c r="B39" s="24"/>
      <c r="C39" s="35"/>
      <c r="D39" s="56"/>
      <c r="E39" s="26" t="s">
        <v>129</v>
      </c>
      <c r="F39" s="28" t="s">
        <v>174</v>
      </c>
      <c r="G39" s="176">
        <f>723000000-G37</f>
        <v>358587000</v>
      </c>
      <c r="H39" s="27">
        <f>400731000+4500000000</f>
        <v>4900731000</v>
      </c>
      <c r="I39" s="22">
        <f t="shared" ref="I39" si="4">G39-H39</f>
        <v>-4542144000</v>
      </c>
      <c r="J39" s="89"/>
      <c r="K39" s="115"/>
    </row>
    <row r="40" spans="1:11" ht="18.75" customHeight="1">
      <c r="A40" s="15"/>
      <c r="B40" s="18"/>
      <c r="C40" s="248" t="s">
        <v>204</v>
      </c>
      <c r="D40" s="249"/>
      <c r="E40" s="249"/>
      <c r="F40" s="154"/>
      <c r="G40" s="155">
        <f t="shared" ref="G40:I41" si="5">G41</f>
        <v>0</v>
      </c>
      <c r="H40" s="17">
        <f t="shared" si="5"/>
        <v>241000000</v>
      </c>
      <c r="I40" s="17">
        <f t="shared" si="5"/>
        <v>-241000000</v>
      </c>
      <c r="J40" s="87"/>
    </row>
    <row r="41" spans="1:11" s="23" customFormat="1" ht="18.75" customHeight="1">
      <c r="A41" s="15"/>
      <c r="B41" s="18"/>
      <c r="C41" s="24"/>
      <c r="D41" s="265" t="s">
        <v>205</v>
      </c>
      <c r="E41" s="262"/>
      <c r="F41" s="59"/>
      <c r="G41" s="156">
        <f t="shared" si="5"/>
        <v>0</v>
      </c>
      <c r="H41" s="21">
        <f t="shared" si="5"/>
        <v>241000000</v>
      </c>
      <c r="I41" s="21">
        <f t="shared" si="5"/>
        <v>-241000000</v>
      </c>
      <c r="J41" s="88"/>
      <c r="K41" s="115"/>
    </row>
    <row r="42" spans="1:11" s="23" customFormat="1" ht="18.75" customHeight="1">
      <c r="A42" s="15"/>
      <c r="B42" s="18"/>
      <c r="C42" s="24"/>
      <c r="D42" s="34"/>
      <c r="E42" s="142" t="s">
        <v>206</v>
      </c>
      <c r="F42" s="28" t="s">
        <v>206</v>
      </c>
      <c r="G42" s="156">
        <v>0</v>
      </c>
      <c r="H42" s="21">
        <v>241000000</v>
      </c>
      <c r="I42" s="22">
        <f t="shared" ref="I42" si="6">G42-H42</f>
        <v>-241000000</v>
      </c>
      <c r="J42" s="88" t="s">
        <v>207</v>
      </c>
      <c r="K42" s="115"/>
    </row>
    <row r="43" spans="1:11" ht="18.75" customHeight="1">
      <c r="A43" s="15"/>
      <c r="B43" s="18"/>
      <c r="C43" s="248" t="s">
        <v>181</v>
      </c>
      <c r="D43" s="249"/>
      <c r="E43" s="249"/>
      <c r="F43" s="154"/>
      <c r="G43" s="155">
        <f t="shared" ref="G43:I44" si="7">G44</f>
        <v>0</v>
      </c>
      <c r="H43" s="17">
        <f t="shared" si="7"/>
        <v>31896000</v>
      </c>
      <c r="I43" s="17">
        <f t="shared" si="7"/>
        <v>-31896000</v>
      </c>
      <c r="J43" s="87"/>
    </row>
    <row r="44" spans="1:11" s="23" customFormat="1" ht="18.75" customHeight="1">
      <c r="A44" s="15"/>
      <c r="B44" s="18"/>
      <c r="C44" s="24"/>
      <c r="D44" s="265" t="s">
        <v>182</v>
      </c>
      <c r="E44" s="262"/>
      <c r="F44" s="59"/>
      <c r="G44" s="156">
        <f t="shared" si="7"/>
        <v>0</v>
      </c>
      <c r="H44" s="21">
        <f t="shared" si="7"/>
        <v>31896000</v>
      </c>
      <c r="I44" s="21">
        <f t="shared" si="7"/>
        <v>-31896000</v>
      </c>
      <c r="J44" s="88"/>
      <c r="K44" s="115"/>
    </row>
    <row r="45" spans="1:11" s="23" customFormat="1" ht="18.75" customHeight="1">
      <c r="A45" s="15"/>
      <c r="B45" s="18"/>
      <c r="C45" s="24"/>
      <c r="D45" s="34"/>
      <c r="E45" s="142" t="s">
        <v>183</v>
      </c>
      <c r="F45" s="28" t="s">
        <v>184</v>
      </c>
      <c r="G45" s="156">
        <v>0</v>
      </c>
      <c r="H45" s="21">
        <v>31896000</v>
      </c>
      <c r="I45" s="22">
        <f t="shared" ref="I45" si="8">G45-H45</f>
        <v>-31896000</v>
      </c>
      <c r="J45" s="88" t="s">
        <v>237</v>
      </c>
      <c r="K45" s="115"/>
    </row>
    <row r="46" spans="1:11" ht="18.75" customHeight="1">
      <c r="A46" s="258" t="s">
        <v>36</v>
      </c>
      <c r="B46" s="259"/>
      <c r="C46" s="259"/>
      <c r="D46" s="259"/>
      <c r="E46" s="259"/>
      <c r="F46" s="168"/>
      <c r="G46" s="169">
        <f>G47+G115</f>
        <v>14635580000</v>
      </c>
      <c r="H46" s="12">
        <f>H47+H115</f>
        <v>14109967000</v>
      </c>
      <c r="I46" s="12">
        <f>I47+I115</f>
        <v>525613000</v>
      </c>
      <c r="J46" s="85"/>
    </row>
    <row r="47" spans="1:11" ht="18.75" customHeight="1">
      <c r="A47" s="13"/>
      <c r="B47" s="260" t="s">
        <v>131</v>
      </c>
      <c r="C47" s="261"/>
      <c r="D47" s="261"/>
      <c r="E47" s="261"/>
      <c r="F47" s="170"/>
      <c r="G47" s="171">
        <f>G48+G63</f>
        <v>14176830000</v>
      </c>
      <c r="H47" s="14">
        <f>H48+H63</f>
        <v>13648181000</v>
      </c>
      <c r="I47" s="14">
        <f>I48+I63</f>
        <v>528649000</v>
      </c>
      <c r="J47" s="86"/>
    </row>
    <row r="48" spans="1:11" ht="18.75" customHeight="1">
      <c r="A48" s="15"/>
      <c r="B48" s="16"/>
      <c r="C48" s="248" t="s">
        <v>132</v>
      </c>
      <c r="D48" s="249"/>
      <c r="E48" s="249"/>
      <c r="F48" s="172"/>
      <c r="G48" s="116">
        <f>G49+G51+G57</f>
        <v>5486235000</v>
      </c>
      <c r="H48" s="17">
        <f>H49+H51+H57</f>
        <v>5565872000</v>
      </c>
      <c r="I48" s="17">
        <f>I49+I51+I57</f>
        <v>-79637000</v>
      </c>
      <c r="J48" s="87"/>
    </row>
    <row r="49" spans="1:11" s="23" customFormat="1" ht="18.75" customHeight="1">
      <c r="A49" s="15"/>
      <c r="B49" s="18"/>
      <c r="C49" s="19"/>
      <c r="D49" s="262" t="s">
        <v>37</v>
      </c>
      <c r="E49" s="262"/>
      <c r="F49" s="59"/>
      <c r="G49" s="156">
        <f>G50</f>
        <v>10755000</v>
      </c>
      <c r="H49" s="21">
        <f>H50</f>
        <v>11496000</v>
      </c>
      <c r="I49" s="21">
        <f>I50</f>
        <v>-741000</v>
      </c>
      <c r="J49" s="88"/>
      <c r="K49" s="115"/>
    </row>
    <row r="50" spans="1:11" s="23" customFormat="1" ht="18.75" customHeight="1">
      <c r="A50" s="15"/>
      <c r="B50" s="18"/>
      <c r="C50" s="24"/>
      <c r="D50" s="25"/>
      <c r="E50" s="26" t="s">
        <v>37</v>
      </c>
      <c r="F50" s="28" t="s">
        <v>37</v>
      </c>
      <c r="G50" s="159">
        <f>(32200*334)+200</f>
        <v>10755000</v>
      </c>
      <c r="H50" s="27">
        <v>11496000</v>
      </c>
      <c r="I50" s="22">
        <f t="shared" ref="I50" si="9">G50-H50</f>
        <v>-741000</v>
      </c>
      <c r="J50" s="89" t="s">
        <v>642</v>
      </c>
      <c r="K50" s="115" t="s">
        <v>215</v>
      </c>
    </row>
    <row r="51" spans="1:11" s="23" customFormat="1" ht="18.75" customHeight="1">
      <c r="A51" s="15"/>
      <c r="B51" s="18"/>
      <c r="C51" s="24"/>
      <c r="D51" s="262" t="s">
        <v>38</v>
      </c>
      <c r="E51" s="262"/>
      <c r="F51" s="59"/>
      <c r="G51" s="156">
        <f>SUM(G52:G56)</f>
        <v>2825496000</v>
      </c>
      <c r="H51" s="21">
        <f>SUM(H52:H56)</f>
        <v>2876610000</v>
      </c>
      <c r="I51" s="21">
        <f>SUM(I52:I56)</f>
        <v>-51114000</v>
      </c>
      <c r="J51" s="88"/>
      <c r="K51" s="115" t="s">
        <v>212</v>
      </c>
    </row>
    <row r="52" spans="1:11" s="23" customFormat="1" ht="18.75" customHeight="1">
      <c r="A52" s="15"/>
      <c r="B52" s="18"/>
      <c r="C52" s="24"/>
      <c r="D52" s="25"/>
      <c r="E52" s="20" t="s">
        <v>38</v>
      </c>
      <c r="F52" s="28" t="s">
        <v>39</v>
      </c>
      <c r="G52" s="159">
        <f>685800*(334+354+342)</f>
        <v>706374000</v>
      </c>
      <c r="H52" s="27">
        <v>711175000</v>
      </c>
      <c r="I52" s="22">
        <f>G52-H52</f>
        <v>-4801000</v>
      </c>
      <c r="J52" s="89" t="s">
        <v>643</v>
      </c>
      <c r="K52" s="115" t="s">
        <v>213</v>
      </c>
    </row>
    <row r="53" spans="1:11" s="23" customFormat="1" ht="18.75" customHeight="1">
      <c r="A53" s="15"/>
      <c r="B53" s="18"/>
      <c r="C53" s="24"/>
      <c r="D53" s="25"/>
      <c r="E53" s="20" t="s">
        <v>38</v>
      </c>
      <c r="F53" s="28" t="s">
        <v>40</v>
      </c>
      <c r="G53" s="159">
        <f>685800*(334+354+342)</f>
        <v>706374000</v>
      </c>
      <c r="H53" s="27">
        <v>711175000</v>
      </c>
      <c r="I53" s="22">
        <f t="shared" ref="I53:I62" si="10">G53-H53</f>
        <v>-4801000</v>
      </c>
      <c r="J53" s="89" t="s">
        <v>643</v>
      </c>
      <c r="K53" s="115" t="s">
        <v>214</v>
      </c>
    </row>
    <row r="54" spans="1:11" s="23" customFormat="1" ht="18.75" customHeight="1">
      <c r="A54" s="15"/>
      <c r="B54" s="18"/>
      <c r="C54" s="24"/>
      <c r="D54" s="25"/>
      <c r="E54" s="20" t="s">
        <v>38</v>
      </c>
      <c r="F54" s="28" t="s">
        <v>41</v>
      </c>
      <c r="G54" s="159">
        <f t="shared" ref="G54:G55" si="11">685800*(334+354+342)</f>
        <v>706374000</v>
      </c>
      <c r="H54" s="27">
        <v>711175000</v>
      </c>
      <c r="I54" s="22">
        <f t="shared" si="10"/>
        <v>-4801000</v>
      </c>
      <c r="J54" s="89" t="s">
        <v>643</v>
      </c>
      <c r="K54" s="115"/>
    </row>
    <row r="55" spans="1:11" s="23" customFormat="1" ht="18.75" customHeight="1">
      <c r="A55" s="15"/>
      <c r="B55" s="24"/>
      <c r="C55" s="24"/>
      <c r="D55" s="25"/>
      <c r="E55" s="20" t="s">
        <v>38</v>
      </c>
      <c r="F55" s="28" t="s">
        <v>42</v>
      </c>
      <c r="G55" s="159">
        <f t="shared" si="11"/>
        <v>706374000</v>
      </c>
      <c r="H55" s="27">
        <v>711175000</v>
      </c>
      <c r="I55" s="22">
        <f t="shared" si="10"/>
        <v>-4801000</v>
      </c>
      <c r="J55" s="89" t="s">
        <v>643</v>
      </c>
      <c r="K55" s="115"/>
    </row>
    <row r="56" spans="1:11" s="23" customFormat="1" ht="18.75" customHeight="1">
      <c r="A56" s="15"/>
      <c r="B56" s="24"/>
      <c r="C56" s="24"/>
      <c r="D56" s="25"/>
      <c r="E56" s="20" t="s">
        <v>43</v>
      </c>
      <c r="F56" s="28" t="s">
        <v>43</v>
      </c>
      <c r="G56" s="156">
        <v>0</v>
      </c>
      <c r="H56" s="27">
        <v>31910000</v>
      </c>
      <c r="I56" s="22">
        <f t="shared" si="10"/>
        <v>-31910000</v>
      </c>
      <c r="J56" s="89" t="s">
        <v>238</v>
      </c>
      <c r="K56" s="115"/>
    </row>
    <row r="57" spans="1:11" s="23" customFormat="1" ht="18.75" customHeight="1">
      <c r="A57" s="15"/>
      <c r="B57" s="18"/>
      <c r="C57" s="24"/>
      <c r="D57" s="265" t="s">
        <v>44</v>
      </c>
      <c r="E57" s="262"/>
      <c r="F57" s="59"/>
      <c r="G57" s="156">
        <f>SUM(G58:G62)</f>
        <v>2649984000</v>
      </c>
      <c r="H57" s="21">
        <f>SUM(H58:H62)</f>
        <v>2677766000</v>
      </c>
      <c r="I57" s="21">
        <f>SUM(I58:I62)</f>
        <v>-27782000</v>
      </c>
      <c r="J57" s="88"/>
      <c r="K57" s="60"/>
    </row>
    <row r="58" spans="1:11" s="23" customFormat="1" ht="18.75" customHeight="1">
      <c r="A58" s="15"/>
      <c r="B58" s="18"/>
      <c r="C58" s="24"/>
      <c r="D58" s="34"/>
      <c r="E58" s="29" t="s">
        <v>44</v>
      </c>
      <c r="F58" s="47" t="s">
        <v>45</v>
      </c>
      <c r="G58" s="159">
        <f>643200*(334+354+342)</f>
        <v>662496000</v>
      </c>
      <c r="H58" s="27">
        <v>666999000</v>
      </c>
      <c r="I58" s="22">
        <f t="shared" si="10"/>
        <v>-4503000</v>
      </c>
      <c r="J58" s="89" t="s">
        <v>644</v>
      </c>
      <c r="K58" s="115"/>
    </row>
    <row r="59" spans="1:11" s="23" customFormat="1" ht="18.75" customHeight="1">
      <c r="A59" s="15"/>
      <c r="B59" s="18"/>
      <c r="C59" s="24"/>
      <c r="D59" s="34"/>
      <c r="E59" s="29" t="s">
        <v>44</v>
      </c>
      <c r="F59" s="47" t="s">
        <v>46</v>
      </c>
      <c r="G59" s="159">
        <f t="shared" ref="G59:G61" si="12">643200*(334+354+342)</f>
        <v>662496000</v>
      </c>
      <c r="H59" s="27">
        <v>666999000</v>
      </c>
      <c r="I59" s="22">
        <f t="shared" si="10"/>
        <v>-4503000</v>
      </c>
      <c r="J59" s="89" t="s">
        <v>644</v>
      </c>
      <c r="K59" s="115"/>
    </row>
    <row r="60" spans="1:11" s="23" customFormat="1" ht="18.75" customHeight="1">
      <c r="A60" s="15"/>
      <c r="B60" s="18"/>
      <c r="C60" s="24"/>
      <c r="D60" s="34"/>
      <c r="E60" s="29" t="s">
        <v>44</v>
      </c>
      <c r="F60" s="47" t="s">
        <v>47</v>
      </c>
      <c r="G60" s="159">
        <f t="shared" si="12"/>
        <v>662496000</v>
      </c>
      <c r="H60" s="27">
        <v>666999000</v>
      </c>
      <c r="I60" s="22">
        <f t="shared" si="10"/>
        <v>-4503000</v>
      </c>
      <c r="J60" s="89" t="s">
        <v>644</v>
      </c>
      <c r="K60" s="115"/>
    </row>
    <row r="61" spans="1:11" s="23" customFormat="1" ht="18.75" customHeight="1">
      <c r="A61" s="15"/>
      <c r="B61" s="24"/>
      <c r="C61" s="24"/>
      <c r="D61" s="34"/>
      <c r="E61" s="29" t="s">
        <v>44</v>
      </c>
      <c r="F61" s="47" t="s">
        <v>48</v>
      </c>
      <c r="G61" s="159">
        <f t="shared" si="12"/>
        <v>662496000</v>
      </c>
      <c r="H61" s="27">
        <v>666999000</v>
      </c>
      <c r="I61" s="22">
        <f t="shared" si="10"/>
        <v>-4503000</v>
      </c>
      <c r="J61" s="89" t="s">
        <v>644</v>
      </c>
      <c r="K61" s="115"/>
    </row>
    <row r="62" spans="1:11" s="23" customFormat="1" ht="18.75" customHeight="1">
      <c r="A62" s="15"/>
      <c r="B62" s="18"/>
      <c r="C62" s="18"/>
      <c r="D62" s="57"/>
      <c r="E62" s="59" t="s">
        <v>49</v>
      </c>
      <c r="F62" s="28" t="s">
        <v>49</v>
      </c>
      <c r="G62" s="156">
        <v>0</v>
      </c>
      <c r="H62" s="27">
        <v>9770000</v>
      </c>
      <c r="I62" s="22">
        <f t="shared" si="10"/>
        <v>-9770000</v>
      </c>
      <c r="J62" s="89" t="s">
        <v>238</v>
      </c>
      <c r="K62" s="115"/>
    </row>
    <row r="63" spans="1:11" s="23" customFormat="1" ht="18.75" customHeight="1">
      <c r="A63" s="15"/>
      <c r="B63" s="18"/>
      <c r="C63" s="248" t="s">
        <v>133</v>
      </c>
      <c r="D63" s="249"/>
      <c r="E63" s="249"/>
      <c r="F63" s="172"/>
      <c r="G63" s="173">
        <f>G64+G80+G86+G93+G96+G99</f>
        <v>8690595000</v>
      </c>
      <c r="H63" s="36">
        <f>H64+H80+H86+H93+H96+H99</f>
        <v>8082309000</v>
      </c>
      <c r="I63" s="36">
        <f>I64+I80+I86+I93+I96+I99</f>
        <v>608286000</v>
      </c>
      <c r="J63" s="87"/>
      <c r="K63" s="115"/>
    </row>
    <row r="64" spans="1:11" s="23" customFormat="1" ht="18.75" customHeight="1">
      <c r="A64" s="15"/>
      <c r="B64" s="18"/>
      <c r="C64" s="18"/>
      <c r="D64" s="265" t="s">
        <v>239</v>
      </c>
      <c r="E64" s="262"/>
      <c r="F64" s="59"/>
      <c r="G64" s="174">
        <f>SUM(G65:G79)</f>
        <v>4032080000</v>
      </c>
      <c r="H64" s="37">
        <f>SUM(H65:H79)</f>
        <v>3586368000</v>
      </c>
      <c r="I64" s="37">
        <f>SUM(I65:I79)</f>
        <v>445712000</v>
      </c>
      <c r="J64" s="88"/>
      <c r="K64" s="115"/>
    </row>
    <row r="65" spans="1:11" s="23" customFormat="1" ht="18.75" customHeight="1">
      <c r="A65" s="15"/>
      <c r="B65" s="18"/>
      <c r="C65" s="18"/>
      <c r="D65" s="18"/>
      <c r="E65" s="20" t="s">
        <v>239</v>
      </c>
      <c r="F65" s="28" t="s">
        <v>240</v>
      </c>
      <c r="G65" s="175">
        <f>(403500*1079)+500</f>
        <v>435377000</v>
      </c>
      <c r="H65" s="118">
        <v>361181000</v>
      </c>
      <c r="I65" s="22">
        <f t="shared" ref="I65:I114" si="13">G65-H65</f>
        <v>74196000</v>
      </c>
      <c r="J65" s="89"/>
      <c r="K65" s="115"/>
    </row>
    <row r="66" spans="1:11" s="23" customFormat="1" ht="18.75" customHeight="1">
      <c r="A66" s="15"/>
      <c r="B66" s="18"/>
      <c r="C66" s="18"/>
      <c r="D66" s="18"/>
      <c r="E66" s="20" t="s">
        <v>239</v>
      </c>
      <c r="F66" s="28" t="s">
        <v>241</v>
      </c>
      <c r="G66" s="175">
        <f>(389500*1079)+500</f>
        <v>420271000</v>
      </c>
      <c r="H66" s="118">
        <v>376343000</v>
      </c>
      <c r="I66" s="22">
        <f t="shared" si="13"/>
        <v>43928000</v>
      </c>
      <c r="J66" s="89"/>
      <c r="K66" s="115"/>
    </row>
    <row r="67" spans="1:11" s="23" customFormat="1" ht="18.75" customHeight="1">
      <c r="A67" s="15"/>
      <c r="B67" s="18"/>
      <c r="C67" s="18"/>
      <c r="D67" s="18"/>
      <c r="E67" s="20" t="s">
        <v>239</v>
      </c>
      <c r="F67" s="28" t="s">
        <v>242</v>
      </c>
      <c r="G67" s="175">
        <f>(403500*1079)+500</f>
        <v>435377000</v>
      </c>
      <c r="H67" s="118">
        <v>376343000</v>
      </c>
      <c r="I67" s="22">
        <f t="shared" si="13"/>
        <v>59034000</v>
      </c>
      <c r="J67" s="89"/>
      <c r="K67" s="115"/>
    </row>
    <row r="68" spans="1:11" s="23" customFormat="1" ht="18.75" customHeight="1">
      <c r="A68" s="15"/>
      <c r="B68" s="18"/>
      <c r="C68" s="18"/>
      <c r="D68" s="18"/>
      <c r="E68" s="20" t="s">
        <v>239</v>
      </c>
      <c r="F68" s="28" t="s">
        <v>243</v>
      </c>
      <c r="G68" s="175">
        <f>(389500*1079)+500</f>
        <v>420271000</v>
      </c>
      <c r="H68" s="118">
        <v>361181000</v>
      </c>
      <c r="I68" s="22">
        <f t="shared" si="13"/>
        <v>59090000</v>
      </c>
      <c r="J68" s="89"/>
      <c r="K68" s="115"/>
    </row>
    <row r="69" spans="1:11" s="23" customFormat="1" ht="18.75" customHeight="1">
      <c r="A69" s="15"/>
      <c r="B69" s="18"/>
      <c r="C69" s="18"/>
      <c r="D69" s="18"/>
      <c r="E69" s="20" t="s">
        <v>239</v>
      </c>
      <c r="F69" s="28" t="s">
        <v>244</v>
      </c>
      <c r="G69" s="175">
        <f>(259500*1079)+500</f>
        <v>280001000</v>
      </c>
      <c r="H69" s="118">
        <v>250715000</v>
      </c>
      <c r="I69" s="22">
        <f t="shared" si="13"/>
        <v>29286000</v>
      </c>
      <c r="J69" s="89"/>
      <c r="K69" s="115"/>
    </row>
    <row r="70" spans="1:11" s="23" customFormat="1" ht="18.75" customHeight="1">
      <c r="A70" s="15"/>
      <c r="B70" s="18"/>
      <c r="C70" s="18"/>
      <c r="D70" s="18"/>
      <c r="E70" s="20" t="s">
        <v>239</v>
      </c>
      <c r="F70" s="28" t="s">
        <v>245</v>
      </c>
      <c r="G70" s="175">
        <f>294000*450</f>
        <v>132300000</v>
      </c>
      <c r="H70" s="118">
        <v>132300000</v>
      </c>
      <c r="I70" s="22">
        <f t="shared" si="13"/>
        <v>0</v>
      </c>
      <c r="J70" s="89"/>
      <c r="K70" s="115"/>
    </row>
    <row r="71" spans="1:11" s="23" customFormat="1" ht="18.75" customHeight="1">
      <c r="A71" s="15"/>
      <c r="B71" s="18"/>
      <c r="C71" s="18"/>
      <c r="D71" s="18"/>
      <c r="E71" s="20" t="s">
        <v>239</v>
      </c>
      <c r="F71" s="28" t="s">
        <v>246</v>
      </c>
      <c r="G71" s="175">
        <f>182000*1079</f>
        <v>196378000</v>
      </c>
      <c r="H71" s="118">
        <v>181944000</v>
      </c>
      <c r="I71" s="22">
        <f t="shared" si="13"/>
        <v>14434000</v>
      </c>
      <c r="J71" s="89"/>
      <c r="K71" s="115"/>
    </row>
    <row r="72" spans="1:11" s="23" customFormat="1" ht="18.75" customHeight="1">
      <c r="A72" s="15"/>
      <c r="B72" s="18"/>
      <c r="C72" s="18"/>
      <c r="D72" s="18"/>
      <c r="E72" s="20" t="s">
        <v>247</v>
      </c>
      <c r="F72" s="28" t="s">
        <v>248</v>
      </c>
      <c r="G72" s="175">
        <f>(343500*1079)+500</f>
        <v>370637000</v>
      </c>
      <c r="H72" s="118">
        <v>311363000</v>
      </c>
      <c r="I72" s="22">
        <f t="shared" si="13"/>
        <v>59274000</v>
      </c>
      <c r="J72" s="89"/>
      <c r="K72" s="115"/>
    </row>
    <row r="73" spans="1:11" s="23" customFormat="1" ht="18.75" customHeight="1">
      <c r="A73" s="15"/>
      <c r="B73" s="18"/>
      <c r="C73" s="18"/>
      <c r="D73" s="18"/>
      <c r="E73" s="20" t="s">
        <v>247</v>
      </c>
      <c r="F73" s="28" t="s">
        <v>249</v>
      </c>
      <c r="G73" s="175">
        <f>(403500*1079)+500</f>
        <v>435377000</v>
      </c>
      <c r="H73" s="118">
        <v>391505000</v>
      </c>
      <c r="I73" s="22">
        <f t="shared" si="13"/>
        <v>43872000</v>
      </c>
      <c r="J73" s="89"/>
      <c r="K73" s="115"/>
    </row>
    <row r="74" spans="1:11" s="23" customFormat="1" ht="18.75" customHeight="1">
      <c r="A74" s="15"/>
      <c r="B74" s="18"/>
      <c r="C74" s="18"/>
      <c r="D74" s="18"/>
      <c r="E74" s="20" t="s">
        <v>247</v>
      </c>
      <c r="F74" s="28" t="s">
        <v>250</v>
      </c>
      <c r="G74" s="175">
        <f>(389500*1079)+500</f>
        <v>420271000</v>
      </c>
      <c r="H74" s="118">
        <v>361181000</v>
      </c>
      <c r="I74" s="22">
        <f t="shared" si="13"/>
        <v>59090000</v>
      </c>
      <c r="J74" s="89"/>
      <c r="K74" s="115"/>
    </row>
    <row r="75" spans="1:11" s="23" customFormat="1" ht="18.75" customHeight="1">
      <c r="A75" s="15"/>
      <c r="B75" s="18"/>
      <c r="C75" s="18"/>
      <c r="D75" s="18"/>
      <c r="E75" s="20" t="s">
        <v>247</v>
      </c>
      <c r="F75" s="28" t="s">
        <v>251</v>
      </c>
      <c r="G75" s="175">
        <f>427500*720</f>
        <v>307800000</v>
      </c>
      <c r="H75" s="118">
        <v>267480000</v>
      </c>
      <c r="I75" s="22">
        <f t="shared" si="13"/>
        <v>40320000</v>
      </c>
      <c r="J75" s="89"/>
      <c r="K75" s="115"/>
    </row>
    <row r="76" spans="1:11" s="23" customFormat="1" ht="18.75" customHeight="1">
      <c r="A76" s="15"/>
      <c r="B76" s="18"/>
      <c r="C76" s="18"/>
      <c r="D76" s="18"/>
      <c r="E76" s="20" t="s">
        <v>247</v>
      </c>
      <c r="F76" s="28" t="s">
        <v>252</v>
      </c>
      <c r="G76" s="175">
        <f>490000*270</f>
        <v>132300000</v>
      </c>
      <c r="H76" s="118">
        <v>132300000</v>
      </c>
      <c r="I76" s="22">
        <f t="shared" si="13"/>
        <v>0</v>
      </c>
      <c r="J76" s="89"/>
      <c r="K76" s="115"/>
    </row>
    <row r="77" spans="1:11" s="23" customFormat="1" ht="18.75" customHeight="1">
      <c r="A77" s="15"/>
      <c r="B77" s="18"/>
      <c r="C77" s="18"/>
      <c r="D77" s="18"/>
      <c r="E77" s="20" t="s">
        <v>247</v>
      </c>
      <c r="F77" s="28" t="s">
        <v>253</v>
      </c>
      <c r="G77" s="175">
        <v>0</v>
      </c>
      <c r="H77" s="118">
        <v>0</v>
      </c>
      <c r="I77" s="22">
        <f t="shared" si="13"/>
        <v>0</v>
      </c>
      <c r="J77" s="89"/>
      <c r="K77" s="115"/>
    </row>
    <row r="78" spans="1:11" s="23" customFormat="1" ht="18.75" customHeight="1">
      <c r="A78" s="15"/>
      <c r="B78" s="18"/>
      <c r="C78" s="18"/>
      <c r="D78" s="24"/>
      <c r="E78" s="20" t="s">
        <v>254</v>
      </c>
      <c r="F78" s="28" t="s">
        <v>255</v>
      </c>
      <c r="G78" s="175">
        <f>63500*720</f>
        <v>45720000</v>
      </c>
      <c r="H78" s="118">
        <v>45720000</v>
      </c>
      <c r="I78" s="22">
        <f t="shared" si="13"/>
        <v>0</v>
      </c>
      <c r="J78" s="89"/>
      <c r="K78" s="115"/>
    </row>
    <row r="79" spans="1:11" s="23" customFormat="1" ht="18.75" customHeight="1">
      <c r="A79" s="15"/>
      <c r="B79" s="18"/>
      <c r="C79" s="18"/>
      <c r="D79" s="18"/>
      <c r="E79" s="26" t="s">
        <v>256</v>
      </c>
      <c r="F79" s="26" t="s">
        <v>256</v>
      </c>
      <c r="G79" s="167">
        <v>0</v>
      </c>
      <c r="H79" s="27">
        <v>36812000</v>
      </c>
      <c r="I79" s="22">
        <f t="shared" si="13"/>
        <v>-36812000</v>
      </c>
      <c r="J79" s="89" t="s">
        <v>257</v>
      </c>
      <c r="K79" s="115"/>
    </row>
    <row r="80" spans="1:11" s="23" customFormat="1" ht="18.75" customHeight="1">
      <c r="A80" s="15"/>
      <c r="B80" s="18"/>
      <c r="C80" s="24"/>
      <c r="D80" s="262" t="s">
        <v>258</v>
      </c>
      <c r="E80" s="262"/>
      <c r="F80" s="59"/>
      <c r="G80" s="156">
        <f>SUM(G81:G85)</f>
        <v>1225027000</v>
      </c>
      <c r="H80" s="21">
        <f>SUM(H81:H85)</f>
        <v>1245332000</v>
      </c>
      <c r="I80" s="21">
        <f>SUM(I81:I85)</f>
        <v>-20305000</v>
      </c>
      <c r="J80" s="88"/>
      <c r="K80" s="115"/>
    </row>
    <row r="81" spans="1:11" s="23" customFormat="1" ht="18.75" customHeight="1">
      <c r="A81" s="15"/>
      <c r="B81" s="18"/>
      <c r="C81" s="24"/>
      <c r="D81" s="25"/>
      <c r="E81" s="20" t="s">
        <v>259</v>
      </c>
      <c r="F81" s="28" t="s">
        <v>659</v>
      </c>
      <c r="G81" s="159">
        <f>(461290*1079)+90</f>
        <v>497732000</v>
      </c>
      <c r="H81" s="27">
        <v>499578000</v>
      </c>
      <c r="I81" s="22">
        <f t="shared" si="13"/>
        <v>-1846000</v>
      </c>
      <c r="J81" s="89"/>
      <c r="K81" s="115"/>
    </row>
    <row r="82" spans="1:11" s="23" customFormat="1" ht="18.75" customHeight="1">
      <c r="A82" s="15"/>
      <c r="B82" s="18"/>
      <c r="C82" s="24"/>
      <c r="D82" s="25"/>
      <c r="E82" s="20" t="s">
        <v>259</v>
      </c>
      <c r="F82" s="28" t="s">
        <v>646</v>
      </c>
      <c r="G82" s="159">
        <f>270000*450</f>
        <v>121500000</v>
      </c>
      <c r="H82" s="27">
        <v>121500000</v>
      </c>
      <c r="I82" s="22">
        <f t="shared" si="13"/>
        <v>0</v>
      </c>
      <c r="J82" s="89"/>
      <c r="K82" s="115"/>
    </row>
    <row r="83" spans="1:11" s="23" customFormat="1" ht="18.75" customHeight="1">
      <c r="A83" s="15"/>
      <c r="B83" s="18"/>
      <c r="C83" s="24"/>
      <c r="D83" s="25"/>
      <c r="E83" s="20" t="s">
        <v>260</v>
      </c>
      <c r="F83" s="28" t="s">
        <v>647</v>
      </c>
      <c r="G83" s="159">
        <f>(441930*1079)+(17850*720)+530</f>
        <v>489695000</v>
      </c>
      <c r="H83" s="27">
        <v>491463000</v>
      </c>
      <c r="I83" s="22">
        <f t="shared" si="13"/>
        <v>-1768000</v>
      </c>
      <c r="J83" s="89"/>
      <c r="K83" s="115"/>
    </row>
    <row r="84" spans="1:11" s="23" customFormat="1" ht="18.75" customHeight="1">
      <c r="A84" s="15"/>
      <c r="B84" s="18"/>
      <c r="C84" s="24"/>
      <c r="D84" s="25"/>
      <c r="E84" s="20" t="s">
        <v>260</v>
      </c>
      <c r="F84" s="28" t="s">
        <v>648</v>
      </c>
      <c r="G84" s="159">
        <f>430000*270</f>
        <v>116100000</v>
      </c>
      <c r="H84" s="27">
        <v>116100000</v>
      </c>
      <c r="I84" s="22">
        <f t="shared" si="13"/>
        <v>0</v>
      </c>
      <c r="J84" s="89"/>
      <c r="K84" s="115"/>
    </row>
    <row r="85" spans="1:11" s="23" customFormat="1" ht="18.75" customHeight="1">
      <c r="A85" s="15"/>
      <c r="B85" s="18"/>
      <c r="C85" s="18"/>
      <c r="D85" s="20"/>
      <c r="E85" s="28" t="s">
        <v>645</v>
      </c>
      <c r="F85" s="28" t="s">
        <v>645</v>
      </c>
      <c r="G85" s="156">
        <v>0</v>
      </c>
      <c r="H85" s="27">
        <v>16691000</v>
      </c>
      <c r="I85" s="22">
        <f t="shared" si="13"/>
        <v>-16691000</v>
      </c>
      <c r="J85" s="89" t="s">
        <v>261</v>
      </c>
      <c r="K85" s="115"/>
    </row>
    <row r="86" spans="1:11" s="23" customFormat="1" ht="18.75" customHeight="1">
      <c r="A86" s="15"/>
      <c r="B86" s="18"/>
      <c r="C86" s="24"/>
      <c r="D86" s="262" t="s">
        <v>262</v>
      </c>
      <c r="E86" s="262"/>
      <c r="F86" s="59"/>
      <c r="G86" s="156">
        <f>SUM(G87:G92)</f>
        <v>304405000</v>
      </c>
      <c r="H86" s="21">
        <f>SUM(H87:H92)</f>
        <v>274499000</v>
      </c>
      <c r="I86" s="21">
        <f>SUM(I87:I92)</f>
        <v>29906000</v>
      </c>
      <c r="J86" s="88"/>
      <c r="K86" s="115"/>
    </row>
    <row r="87" spans="1:11" s="23" customFormat="1" ht="18.75" customHeight="1">
      <c r="A87" s="15"/>
      <c r="B87" s="18"/>
      <c r="C87" s="24"/>
      <c r="D87" s="25"/>
      <c r="E87" s="20" t="s">
        <v>262</v>
      </c>
      <c r="F87" s="28" t="s">
        <v>263</v>
      </c>
      <c r="G87" s="156">
        <f>500000*355</f>
        <v>177500000</v>
      </c>
      <c r="H87" s="21">
        <v>157080000</v>
      </c>
      <c r="I87" s="22">
        <f t="shared" si="13"/>
        <v>20420000</v>
      </c>
      <c r="J87" s="138"/>
      <c r="K87" s="115"/>
    </row>
    <row r="88" spans="1:11" s="23" customFormat="1" ht="18.75" customHeight="1">
      <c r="A88" s="15"/>
      <c r="B88" s="18"/>
      <c r="C88" s="18"/>
      <c r="D88" s="24"/>
      <c r="E88" s="20" t="s">
        <v>262</v>
      </c>
      <c r="F88" s="28" t="s">
        <v>264</v>
      </c>
      <c r="G88" s="156">
        <f>55000*355</f>
        <v>19525000</v>
      </c>
      <c r="H88" s="21">
        <v>17850000</v>
      </c>
      <c r="I88" s="22">
        <f t="shared" si="13"/>
        <v>1675000</v>
      </c>
      <c r="J88" s="138"/>
      <c r="K88" s="115"/>
    </row>
    <row r="89" spans="1:11" s="23" customFormat="1" ht="18.75" customHeight="1">
      <c r="A89" s="15"/>
      <c r="B89" s="18"/>
      <c r="C89" s="18"/>
      <c r="D89" s="24"/>
      <c r="E89" s="20" t="s">
        <v>262</v>
      </c>
      <c r="F89" s="28" t="s">
        <v>265</v>
      </c>
      <c r="G89" s="156">
        <f>75000*364</f>
        <v>27300000</v>
      </c>
      <c r="H89" s="21">
        <v>25410000</v>
      </c>
      <c r="I89" s="22">
        <f t="shared" si="13"/>
        <v>1890000</v>
      </c>
      <c r="J89" s="138"/>
      <c r="K89" s="115"/>
    </row>
    <row r="90" spans="1:11" s="23" customFormat="1" ht="18.75" customHeight="1">
      <c r="A90" s="15"/>
      <c r="B90" s="18"/>
      <c r="C90" s="24"/>
      <c r="D90" s="25"/>
      <c r="E90" s="212" t="s">
        <v>660</v>
      </c>
      <c r="F90" s="213" t="s">
        <v>661</v>
      </c>
      <c r="G90" s="159">
        <f>220000*364</f>
        <v>80080000</v>
      </c>
      <c r="H90" s="27">
        <v>72600000</v>
      </c>
      <c r="I90" s="22">
        <f>G90-H90</f>
        <v>7480000</v>
      </c>
      <c r="J90" s="214" t="s">
        <v>662</v>
      </c>
      <c r="K90" s="115"/>
    </row>
    <row r="91" spans="1:11" s="23" customFormat="1" ht="18.75" customHeight="1">
      <c r="A91" s="15"/>
      <c r="B91" s="18"/>
      <c r="C91" s="24"/>
      <c r="D91" s="25"/>
      <c r="E91" s="28" t="s">
        <v>266</v>
      </c>
      <c r="F91" s="28" t="s">
        <v>266</v>
      </c>
      <c r="G91" s="156">
        <v>0</v>
      </c>
      <c r="H91" s="27">
        <v>826000</v>
      </c>
      <c r="I91" s="22">
        <f t="shared" si="13"/>
        <v>-826000</v>
      </c>
      <c r="J91" s="89" t="s">
        <v>257</v>
      </c>
      <c r="K91" s="115"/>
    </row>
    <row r="92" spans="1:11" s="23" customFormat="1" ht="18.75" customHeight="1">
      <c r="A92" s="15"/>
      <c r="B92" s="18"/>
      <c r="C92" s="24"/>
      <c r="D92" s="25"/>
      <c r="E92" s="28" t="s">
        <v>267</v>
      </c>
      <c r="F92" s="28" t="s">
        <v>267</v>
      </c>
      <c r="G92" s="156">
        <v>0</v>
      </c>
      <c r="H92" s="27">
        <v>733000</v>
      </c>
      <c r="I92" s="22">
        <f>G92-H92</f>
        <v>-733000</v>
      </c>
      <c r="J92" s="89" t="s">
        <v>257</v>
      </c>
      <c r="K92" s="115"/>
    </row>
    <row r="93" spans="1:11" s="23" customFormat="1" ht="18.75" customHeight="1">
      <c r="A93" s="15"/>
      <c r="B93" s="18"/>
      <c r="C93" s="24"/>
      <c r="D93" s="262" t="s">
        <v>268</v>
      </c>
      <c r="E93" s="262"/>
      <c r="F93" s="59"/>
      <c r="G93" s="156">
        <f>SUM(G94:G95)</f>
        <v>24480000</v>
      </c>
      <c r="H93" s="21">
        <f>SUM(H94:H95)</f>
        <v>24746000</v>
      </c>
      <c r="I93" s="21">
        <f>SUM(I94:I95)</f>
        <v>-266000</v>
      </c>
      <c r="J93" s="138"/>
      <c r="K93" s="115"/>
    </row>
    <row r="94" spans="1:11" s="23" customFormat="1" ht="18.75" customHeight="1">
      <c r="A94" s="15"/>
      <c r="B94" s="18"/>
      <c r="C94" s="24"/>
      <c r="D94" s="25"/>
      <c r="E94" s="29" t="s">
        <v>268</v>
      </c>
      <c r="F94" s="129" t="s">
        <v>268</v>
      </c>
      <c r="G94" s="159">
        <f>68000*360</f>
        <v>24480000</v>
      </c>
      <c r="H94" s="27">
        <v>24684000</v>
      </c>
      <c r="I94" s="22">
        <f t="shared" si="13"/>
        <v>-204000</v>
      </c>
      <c r="J94" s="138"/>
      <c r="K94" s="115"/>
    </row>
    <row r="95" spans="1:11" s="23" customFormat="1" ht="18.75" customHeight="1">
      <c r="A95" s="15"/>
      <c r="B95" s="18"/>
      <c r="C95" s="24"/>
      <c r="D95" s="25"/>
      <c r="E95" s="29" t="s">
        <v>269</v>
      </c>
      <c r="F95" s="129" t="s">
        <v>269</v>
      </c>
      <c r="G95" s="176">
        <v>0</v>
      </c>
      <c r="H95" s="136">
        <v>62000</v>
      </c>
      <c r="I95" s="22">
        <f t="shared" si="13"/>
        <v>-62000</v>
      </c>
      <c r="J95" s="89"/>
      <c r="K95" s="115"/>
    </row>
    <row r="96" spans="1:11" s="23" customFormat="1" ht="18.75" customHeight="1">
      <c r="A96" s="15"/>
      <c r="B96" s="18"/>
      <c r="C96" s="24"/>
      <c r="D96" s="262" t="s">
        <v>270</v>
      </c>
      <c r="E96" s="262"/>
      <c r="F96" s="59"/>
      <c r="G96" s="156">
        <f>SUM(G97:G98)</f>
        <v>53950000</v>
      </c>
      <c r="H96" s="21">
        <f>SUM(H97:H98)</f>
        <v>54257000</v>
      </c>
      <c r="I96" s="21">
        <f>SUM(I97:I98)</f>
        <v>-307000</v>
      </c>
      <c r="J96" s="138"/>
      <c r="K96" s="115"/>
    </row>
    <row r="97" spans="1:11" s="23" customFormat="1" ht="18.75" customHeight="1">
      <c r="A97" s="15"/>
      <c r="B97" s="18"/>
      <c r="C97" s="24"/>
      <c r="D97" s="25"/>
      <c r="E97" s="129" t="s">
        <v>270</v>
      </c>
      <c r="F97" s="129" t="s">
        <v>270</v>
      </c>
      <c r="G97" s="159">
        <f>50000*1079</f>
        <v>53950000</v>
      </c>
      <c r="H97" s="27">
        <v>54150000</v>
      </c>
      <c r="I97" s="22">
        <f t="shared" si="13"/>
        <v>-200000</v>
      </c>
      <c r="J97" s="138"/>
      <c r="K97" s="115"/>
    </row>
    <row r="98" spans="1:11" s="23" customFormat="1" ht="18.75" customHeight="1">
      <c r="A98" s="15"/>
      <c r="B98" s="18"/>
      <c r="C98" s="18"/>
      <c r="D98" s="35"/>
      <c r="E98" s="135" t="s">
        <v>271</v>
      </c>
      <c r="F98" s="129" t="s">
        <v>271</v>
      </c>
      <c r="G98" s="176">
        <v>0</v>
      </c>
      <c r="H98" s="27">
        <v>107000</v>
      </c>
      <c r="I98" s="22">
        <f t="shared" si="13"/>
        <v>-107000</v>
      </c>
      <c r="J98" s="89" t="s">
        <v>257</v>
      </c>
      <c r="K98" s="115"/>
    </row>
    <row r="99" spans="1:11" s="23" customFormat="1" ht="18.75" customHeight="1">
      <c r="A99" s="15"/>
      <c r="B99" s="18"/>
      <c r="C99" s="18"/>
      <c r="D99" s="265" t="s">
        <v>272</v>
      </c>
      <c r="E99" s="262"/>
      <c r="F99" s="59"/>
      <c r="G99" s="174">
        <f>SUM(G100:G114)</f>
        <v>3050653000</v>
      </c>
      <c r="H99" s="37">
        <f>SUM(H100:H114)</f>
        <v>2897107000</v>
      </c>
      <c r="I99" s="37">
        <f>SUM(I100:I114)</f>
        <v>153546000</v>
      </c>
      <c r="J99" s="138"/>
      <c r="K99" s="115"/>
    </row>
    <row r="100" spans="1:11" s="23" customFormat="1" ht="18.75" customHeight="1">
      <c r="A100" s="15"/>
      <c r="B100" s="18"/>
      <c r="C100" s="18"/>
      <c r="D100" s="18"/>
      <c r="E100" s="26" t="s">
        <v>272</v>
      </c>
      <c r="F100" s="26" t="s">
        <v>273</v>
      </c>
      <c r="G100" s="156">
        <f>300000*1079</f>
        <v>323700000</v>
      </c>
      <c r="H100" s="21">
        <v>303240000</v>
      </c>
      <c r="I100" s="22">
        <f t="shared" si="13"/>
        <v>20460000</v>
      </c>
      <c r="J100" s="93"/>
      <c r="K100" s="115"/>
    </row>
    <row r="101" spans="1:11" s="23" customFormat="1" ht="18.75" customHeight="1">
      <c r="A101" s="15"/>
      <c r="B101" s="18"/>
      <c r="C101" s="18"/>
      <c r="D101" s="24"/>
      <c r="E101" s="26" t="s">
        <v>272</v>
      </c>
      <c r="F101" s="26" t="s">
        <v>274</v>
      </c>
      <c r="G101" s="156">
        <f t="shared" ref="G101:G102" si="14">300000*1079</f>
        <v>323700000</v>
      </c>
      <c r="H101" s="21">
        <v>303240000</v>
      </c>
      <c r="I101" s="22">
        <f t="shared" si="13"/>
        <v>20460000</v>
      </c>
      <c r="J101" s="93"/>
      <c r="K101" s="115"/>
    </row>
    <row r="102" spans="1:11" s="23" customFormat="1" ht="18.75" customHeight="1">
      <c r="A102" s="15"/>
      <c r="B102" s="18"/>
      <c r="C102" s="18"/>
      <c r="D102" s="24"/>
      <c r="E102" s="26" t="s">
        <v>272</v>
      </c>
      <c r="F102" s="26" t="s">
        <v>275</v>
      </c>
      <c r="G102" s="156">
        <f t="shared" si="14"/>
        <v>323700000</v>
      </c>
      <c r="H102" s="21">
        <v>303240000</v>
      </c>
      <c r="I102" s="22">
        <f t="shared" si="13"/>
        <v>20460000</v>
      </c>
      <c r="J102" s="93"/>
      <c r="K102" s="115"/>
    </row>
    <row r="103" spans="1:11" s="23" customFormat="1" ht="18.75" customHeight="1">
      <c r="A103" s="15"/>
      <c r="B103" s="18"/>
      <c r="C103" s="18"/>
      <c r="D103" s="24"/>
      <c r="E103" s="26" t="s">
        <v>272</v>
      </c>
      <c r="F103" s="26" t="s">
        <v>276</v>
      </c>
      <c r="G103" s="156">
        <f>300000*1079</f>
        <v>323700000</v>
      </c>
      <c r="H103" s="21">
        <v>303240000</v>
      </c>
      <c r="I103" s="22">
        <f t="shared" si="13"/>
        <v>20460000</v>
      </c>
      <c r="J103" s="93"/>
      <c r="K103" s="115"/>
    </row>
    <row r="104" spans="1:11" s="23" customFormat="1" ht="18.75" customHeight="1">
      <c r="A104" s="15"/>
      <c r="B104" s="18"/>
      <c r="C104" s="18"/>
      <c r="D104" s="24"/>
      <c r="E104" s="26" t="s">
        <v>272</v>
      </c>
      <c r="F104" s="26" t="s">
        <v>277</v>
      </c>
      <c r="G104" s="156">
        <f>(183870*1079)+270</f>
        <v>198396000</v>
      </c>
      <c r="H104" s="21">
        <v>185854000</v>
      </c>
      <c r="I104" s="22">
        <f t="shared" si="13"/>
        <v>12542000</v>
      </c>
      <c r="J104" s="93"/>
      <c r="K104" s="115"/>
    </row>
    <row r="105" spans="1:11" s="23" customFormat="1" ht="18.75" customHeight="1">
      <c r="A105" s="15"/>
      <c r="B105" s="18"/>
      <c r="C105" s="18"/>
      <c r="D105" s="24"/>
      <c r="E105" s="26" t="s">
        <v>272</v>
      </c>
      <c r="F105" s="26" t="s">
        <v>278</v>
      </c>
      <c r="G105" s="156">
        <f>193540*450</f>
        <v>87093000</v>
      </c>
      <c r="H105" s="21">
        <v>85352000</v>
      </c>
      <c r="I105" s="22">
        <f t="shared" si="13"/>
        <v>1741000</v>
      </c>
      <c r="J105" s="93"/>
      <c r="K105" s="115"/>
    </row>
    <row r="106" spans="1:11" s="23" customFormat="1" ht="18.75" customHeight="1">
      <c r="A106" s="15"/>
      <c r="B106" s="18"/>
      <c r="C106" s="18"/>
      <c r="D106" s="24"/>
      <c r="E106" s="26" t="s">
        <v>272</v>
      </c>
      <c r="F106" s="26" t="s">
        <v>279</v>
      </c>
      <c r="G106" s="156">
        <f>(135480*1079)+80</f>
        <v>146183000</v>
      </c>
      <c r="H106" s="21">
        <v>136946000</v>
      </c>
      <c r="I106" s="22">
        <f t="shared" si="13"/>
        <v>9237000</v>
      </c>
      <c r="J106" s="93"/>
      <c r="K106" s="115"/>
    </row>
    <row r="107" spans="1:11" s="23" customFormat="1" ht="18.75" customHeight="1">
      <c r="A107" s="15"/>
      <c r="B107" s="18"/>
      <c r="C107" s="18"/>
      <c r="D107" s="24"/>
      <c r="E107" s="26" t="s">
        <v>272</v>
      </c>
      <c r="F107" s="26" t="s">
        <v>280</v>
      </c>
      <c r="G107" s="156">
        <f>300000*1079</f>
        <v>323700000</v>
      </c>
      <c r="H107" s="21">
        <v>303240000</v>
      </c>
      <c r="I107" s="22">
        <f t="shared" si="13"/>
        <v>20460000</v>
      </c>
      <c r="J107" s="93"/>
      <c r="K107" s="115"/>
    </row>
    <row r="108" spans="1:11" s="23" customFormat="1" ht="18.75" customHeight="1">
      <c r="A108" s="15"/>
      <c r="B108" s="18"/>
      <c r="C108" s="18"/>
      <c r="D108" s="24"/>
      <c r="E108" s="26" t="s">
        <v>272</v>
      </c>
      <c r="F108" s="26" t="s">
        <v>281</v>
      </c>
      <c r="G108" s="156">
        <f t="shared" ref="G108:G109" si="15">300000*1079</f>
        <v>323700000</v>
      </c>
      <c r="H108" s="21">
        <v>303240000</v>
      </c>
      <c r="I108" s="22">
        <f t="shared" si="13"/>
        <v>20460000</v>
      </c>
      <c r="J108" s="93"/>
      <c r="K108" s="115"/>
    </row>
    <row r="109" spans="1:11" s="23" customFormat="1" ht="18.75" customHeight="1">
      <c r="A109" s="15"/>
      <c r="B109" s="18"/>
      <c r="C109" s="18"/>
      <c r="D109" s="24"/>
      <c r="E109" s="26" t="s">
        <v>272</v>
      </c>
      <c r="F109" s="26" t="s">
        <v>282</v>
      </c>
      <c r="G109" s="156">
        <f t="shared" si="15"/>
        <v>323700000</v>
      </c>
      <c r="H109" s="21">
        <v>303240000</v>
      </c>
      <c r="I109" s="22">
        <f t="shared" si="13"/>
        <v>20460000</v>
      </c>
      <c r="J109" s="93"/>
      <c r="K109" s="130"/>
    </row>
    <row r="110" spans="1:11" s="23" customFormat="1" ht="18.75" customHeight="1">
      <c r="A110" s="15"/>
      <c r="B110" s="18"/>
      <c r="C110" s="18"/>
      <c r="D110" s="24"/>
      <c r="E110" s="26" t="s">
        <v>272</v>
      </c>
      <c r="F110" s="26" t="s">
        <v>283</v>
      </c>
      <c r="G110" s="156">
        <f>300000*720</f>
        <v>216000000</v>
      </c>
      <c r="H110" s="21">
        <v>201600000</v>
      </c>
      <c r="I110" s="22">
        <f t="shared" si="13"/>
        <v>14400000</v>
      </c>
      <c r="J110" s="93"/>
      <c r="K110" s="131"/>
    </row>
    <row r="111" spans="1:11" s="23" customFormat="1" ht="18.75" customHeight="1">
      <c r="A111" s="15"/>
      <c r="B111" s="18"/>
      <c r="C111" s="18"/>
      <c r="D111" s="24"/>
      <c r="E111" s="26" t="s">
        <v>272</v>
      </c>
      <c r="F111" s="26" t="s">
        <v>284</v>
      </c>
      <c r="G111" s="156">
        <f>(336290*270)+700</f>
        <v>90799000</v>
      </c>
      <c r="H111" s="21">
        <v>86400000</v>
      </c>
      <c r="I111" s="22">
        <f t="shared" si="13"/>
        <v>4399000</v>
      </c>
      <c r="J111" s="93"/>
      <c r="K111" s="131"/>
    </row>
    <row r="112" spans="1:11" s="23" customFormat="1" ht="18.75" customHeight="1">
      <c r="A112" s="15"/>
      <c r="B112" s="18"/>
      <c r="C112" s="18"/>
      <c r="D112" s="24"/>
      <c r="E112" s="26" t="s">
        <v>272</v>
      </c>
      <c r="F112" s="26" t="s">
        <v>285</v>
      </c>
      <c r="G112" s="156">
        <v>0</v>
      </c>
      <c r="H112" s="21">
        <v>0</v>
      </c>
      <c r="I112" s="22">
        <f t="shared" si="13"/>
        <v>0</v>
      </c>
      <c r="J112" s="93"/>
      <c r="K112" s="134"/>
    </row>
    <row r="113" spans="1:11" s="23" customFormat="1" ht="18.75" customHeight="1">
      <c r="A113" s="15"/>
      <c r="B113" s="18"/>
      <c r="C113" s="18"/>
      <c r="D113" s="24"/>
      <c r="E113" s="56" t="s">
        <v>286</v>
      </c>
      <c r="F113" s="26" t="s">
        <v>287</v>
      </c>
      <c r="G113" s="156">
        <f>(64280*720)+400</f>
        <v>46282000</v>
      </c>
      <c r="H113" s="21">
        <v>43200000</v>
      </c>
      <c r="I113" s="22">
        <f t="shared" si="13"/>
        <v>3082000</v>
      </c>
      <c r="J113" s="93"/>
      <c r="K113" s="115"/>
    </row>
    <row r="114" spans="1:11" s="23" customFormat="1" ht="18.75" customHeight="1">
      <c r="A114" s="13"/>
      <c r="B114" s="26"/>
      <c r="C114" s="35"/>
      <c r="D114" s="35"/>
      <c r="E114" s="56" t="s">
        <v>288</v>
      </c>
      <c r="F114" s="26" t="s">
        <v>288</v>
      </c>
      <c r="G114" s="167">
        <v>0</v>
      </c>
      <c r="H114" s="21">
        <v>35075000</v>
      </c>
      <c r="I114" s="22">
        <f t="shared" si="13"/>
        <v>-35075000</v>
      </c>
      <c r="J114" s="89" t="s">
        <v>257</v>
      </c>
      <c r="K114" s="115"/>
    </row>
    <row r="115" spans="1:11" s="23" customFormat="1" ht="18.75" customHeight="1">
      <c r="A115" s="15"/>
      <c r="B115" s="263" t="s">
        <v>289</v>
      </c>
      <c r="C115" s="264"/>
      <c r="D115" s="264"/>
      <c r="E115" s="264"/>
      <c r="F115" s="152"/>
      <c r="G115" s="177">
        <f>G116+G127</f>
        <v>458750000</v>
      </c>
      <c r="H115" s="45">
        <f>H116+H127</f>
        <v>461786000</v>
      </c>
      <c r="I115" s="45">
        <f>I116+I127</f>
        <v>-3036000</v>
      </c>
      <c r="J115" s="86"/>
      <c r="K115" s="115"/>
    </row>
    <row r="116" spans="1:11" s="23" customFormat="1" ht="18.75" customHeight="1">
      <c r="A116" s="15"/>
      <c r="B116" s="18"/>
      <c r="C116" s="248" t="s">
        <v>290</v>
      </c>
      <c r="D116" s="249"/>
      <c r="E116" s="249"/>
      <c r="F116" s="154"/>
      <c r="G116" s="178">
        <f>G117</f>
        <v>424750000</v>
      </c>
      <c r="H116" s="36">
        <f>H117</f>
        <v>422108000</v>
      </c>
      <c r="I116" s="36">
        <f>I117</f>
        <v>2642000</v>
      </c>
      <c r="J116" s="87"/>
      <c r="K116" s="115"/>
    </row>
    <row r="117" spans="1:11" s="23" customFormat="1" ht="18.75" customHeight="1">
      <c r="A117" s="13"/>
      <c r="B117" s="25"/>
      <c r="C117" s="18"/>
      <c r="D117" s="266" t="s">
        <v>291</v>
      </c>
      <c r="E117" s="267"/>
      <c r="F117" s="59"/>
      <c r="G117" s="174">
        <f>SUM(G118:G126)</f>
        <v>424750000</v>
      </c>
      <c r="H117" s="37">
        <f>SUM(H118:H126)</f>
        <v>422108000</v>
      </c>
      <c r="I117" s="37">
        <f>SUM(I118:I126)</f>
        <v>2642000</v>
      </c>
      <c r="J117" s="88"/>
      <c r="K117" s="115"/>
    </row>
    <row r="118" spans="1:11" s="23" customFormat="1" ht="18.75" customHeight="1">
      <c r="A118" s="13"/>
      <c r="B118" s="25"/>
      <c r="C118" s="18"/>
      <c r="D118" s="61"/>
      <c r="E118" s="61" t="s">
        <v>292</v>
      </c>
      <c r="F118" s="18" t="s">
        <v>293</v>
      </c>
      <c r="G118" s="174">
        <v>167000000</v>
      </c>
      <c r="H118" s="37">
        <v>166800000</v>
      </c>
      <c r="I118" s="22">
        <f t="shared" ref="I118:I126" si="16">G118-H118</f>
        <v>200000</v>
      </c>
      <c r="J118" s="88"/>
      <c r="K118" s="115"/>
    </row>
    <row r="119" spans="1:11" s="23" customFormat="1" ht="18.75" customHeight="1">
      <c r="A119" s="15"/>
      <c r="B119" s="18"/>
      <c r="C119" s="24"/>
      <c r="D119" s="94"/>
      <c r="E119" s="57" t="s">
        <v>294</v>
      </c>
      <c r="F119" s="179" t="s">
        <v>295</v>
      </c>
      <c r="G119" s="180">
        <v>30000000</v>
      </c>
      <c r="H119" s="46">
        <v>29500000</v>
      </c>
      <c r="I119" s="22">
        <f t="shared" si="16"/>
        <v>500000</v>
      </c>
      <c r="J119" s="55"/>
      <c r="K119" s="115"/>
    </row>
    <row r="120" spans="1:11" s="23" customFormat="1" ht="18.75" customHeight="1">
      <c r="A120" s="15"/>
      <c r="B120" s="18"/>
      <c r="C120" s="24"/>
      <c r="D120" s="94"/>
      <c r="E120" s="57" t="s">
        <v>294</v>
      </c>
      <c r="F120" s="179" t="s">
        <v>296</v>
      </c>
      <c r="G120" s="180">
        <v>8000000</v>
      </c>
      <c r="H120" s="46">
        <v>8000000</v>
      </c>
      <c r="I120" s="22">
        <f t="shared" si="16"/>
        <v>0</v>
      </c>
      <c r="J120" s="55"/>
      <c r="K120" s="115"/>
    </row>
    <row r="121" spans="1:11" s="23" customFormat="1" ht="18.75" customHeight="1">
      <c r="A121" s="15"/>
      <c r="B121" s="18"/>
      <c r="C121" s="24"/>
      <c r="D121" s="94"/>
      <c r="E121" s="57" t="s">
        <v>294</v>
      </c>
      <c r="F121" s="179" t="s">
        <v>297</v>
      </c>
      <c r="G121" s="180">
        <v>0</v>
      </c>
      <c r="H121" s="46">
        <v>200000</v>
      </c>
      <c r="I121" s="22">
        <f t="shared" si="16"/>
        <v>-200000</v>
      </c>
      <c r="J121" s="55" t="s">
        <v>649</v>
      </c>
      <c r="K121" s="115"/>
    </row>
    <row r="122" spans="1:11" s="23" customFormat="1" ht="18.75" customHeight="1">
      <c r="A122" s="15"/>
      <c r="B122" s="18"/>
      <c r="C122" s="24"/>
      <c r="D122" s="94"/>
      <c r="E122" s="57" t="s">
        <v>294</v>
      </c>
      <c r="F122" s="179" t="s">
        <v>298</v>
      </c>
      <c r="G122" s="180">
        <v>181630000</v>
      </c>
      <c r="H122" s="46">
        <v>181630000</v>
      </c>
      <c r="I122" s="22">
        <f t="shared" si="16"/>
        <v>0</v>
      </c>
      <c r="J122" s="55"/>
      <c r="K122" s="115"/>
    </row>
    <row r="123" spans="1:11" s="23" customFormat="1" ht="18.75" customHeight="1">
      <c r="A123" s="15"/>
      <c r="B123" s="18"/>
      <c r="C123" s="24"/>
      <c r="D123" s="18"/>
      <c r="E123" s="57" t="s">
        <v>299</v>
      </c>
      <c r="F123" s="28" t="s">
        <v>300</v>
      </c>
      <c r="G123" s="156">
        <v>12000000</v>
      </c>
      <c r="H123" s="21">
        <v>12000000</v>
      </c>
      <c r="I123" s="22">
        <f t="shared" si="16"/>
        <v>0</v>
      </c>
      <c r="J123" s="88"/>
      <c r="K123" s="115"/>
    </row>
    <row r="124" spans="1:11" s="23" customFormat="1" ht="18.75" customHeight="1">
      <c r="A124" s="15"/>
      <c r="B124" s="18"/>
      <c r="C124" s="24"/>
      <c r="D124" s="112"/>
      <c r="E124" s="57" t="s">
        <v>299</v>
      </c>
      <c r="F124" s="28" t="s">
        <v>301</v>
      </c>
      <c r="G124" s="156">
        <v>12000000</v>
      </c>
      <c r="H124" s="21">
        <v>12000000</v>
      </c>
      <c r="I124" s="22">
        <f t="shared" si="16"/>
        <v>0</v>
      </c>
      <c r="J124" s="88"/>
      <c r="K124" s="115"/>
    </row>
    <row r="125" spans="1:11" s="23" customFormat="1" ht="18.75" customHeight="1">
      <c r="A125" s="15"/>
      <c r="B125" s="18"/>
      <c r="C125" s="24"/>
      <c r="D125" s="112"/>
      <c r="E125" s="57" t="s">
        <v>299</v>
      </c>
      <c r="F125" s="28" t="s">
        <v>302</v>
      </c>
      <c r="G125" s="156">
        <f>10920000+3200000</f>
        <v>14120000</v>
      </c>
      <c r="H125" s="21">
        <v>10920000</v>
      </c>
      <c r="I125" s="22">
        <f t="shared" si="16"/>
        <v>3200000</v>
      </c>
      <c r="J125" s="88" t="s">
        <v>696</v>
      </c>
      <c r="K125" s="115"/>
    </row>
    <row r="126" spans="1:11" s="23" customFormat="1" ht="18.75" customHeight="1">
      <c r="A126" s="15"/>
      <c r="B126" s="24"/>
      <c r="C126" s="24"/>
      <c r="D126" s="24"/>
      <c r="E126" s="57" t="s">
        <v>299</v>
      </c>
      <c r="F126" s="59" t="s">
        <v>303</v>
      </c>
      <c r="G126" s="156">
        <v>0</v>
      </c>
      <c r="H126" s="21">
        <v>1058000</v>
      </c>
      <c r="I126" s="22">
        <f t="shared" si="16"/>
        <v>-1058000</v>
      </c>
      <c r="J126" s="88"/>
      <c r="K126" s="115"/>
    </row>
    <row r="127" spans="1:11" s="23" customFormat="1" ht="18.75" customHeight="1">
      <c r="A127" s="13"/>
      <c r="B127" s="25"/>
      <c r="C127" s="248" t="s">
        <v>304</v>
      </c>
      <c r="D127" s="249"/>
      <c r="E127" s="249"/>
      <c r="F127" s="154"/>
      <c r="G127" s="178">
        <f>G128+G132</f>
        <v>34000000</v>
      </c>
      <c r="H127" s="36">
        <f>H128+H132</f>
        <v>39678000</v>
      </c>
      <c r="I127" s="36">
        <f>I128+I132</f>
        <v>-5678000</v>
      </c>
      <c r="J127" s="87"/>
      <c r="K127" s="115"/>
    </row>
    <row r="128" spans="1:11" s="23" customFormat="1" ht="18.75" customHeight="1">
      <c r="A128" s="13"/>
      <c r="B128" s="25"/>
      <c r="C128" s="18"/>
      <c r="D128" s="265" t="s">
        <v>305</v>
      </c>
      <c r="E128" s="262"/>
      <c r="F128" s="181"/>
      <c r="G128" s="174">
        <f>SUM(G129:G131)</f>
        <v>33000000</v>
      </c>
      <c r="H128" s="37">
        <f>SUM(H129:H131)</f>
        <v>33000000</v>
      </c>
      <c r="I128" s="37">
        <f>SUM(I129:I131)</f>
        <v>0</v>
      </c>
      <c r="J128" s="88"/>
      <c r="K128" s="115"/>
    </row>
    <row r="129" spans="1:12" s="23" customFormat="1" ht="18.75" customHeight="1">
      <c r="A129" s="13"/>
      <c r="B129" s="25"/>
      <c r="C129" s="18"/>
      <c r="D129" s="18"/>
      <c r="E129" s="40" t="s">
        <v>305</v>
      </c>
      <c r="F129" s="182" t="s">
        <v>306</v>
      </c>
      <c r="G129" s="176">
        <v>15000000</v>
      </c>
      <c r="H129" s="41">
        <v>15000000</v>
      </c>
      <c r="I129" s="22">
        <f t="shared" ref="I129:I136" si="17">G129-H129</f>
        <v>0</v>
      </c>
      <c r="J129" s="55"/>
      <c r="K129" s="115"/>
    </row>
    <row r="130" spans="1:12" s="23" customFormat="1" ht="18.75" customHeight="1">
      <c r="A130" s="13"/>
      <c r="B130" s="25"/>
      <c r="C130" s="18"/>
      <c r="D130" s="18"/>
      <c r="E130" s="40" t="s">
        <v>305</v>
      </c>
      <c r="F130" s="182" t="s">
        <v>307</v>
      </c>
      <c r="G130" s="176">
        <v>7000000</v>
      </c>
      <c r="H130" s="41">
        <v>7000000</v>
      </c>
      <c r="I130" s="22">
        <f t="shared" si="17"/>
        <v>0</v>
      </c>
      <c r="J130" s="55"/>
      <c r="K130" s="115"/>
    </row>
    <row r="131" spans="1:12" s="23" customFormat="1" ht="18.75" customHeight="1">
      <c r="A131" s="13"/>
      <c r="B131" s="25"/>
      <c r="C131" s="18"/>
      <c r="D131" s="18"/>
      <c r="E131" s="40" t="s">
        <v>305</v>
      </c>
      <c r="F131" s="182" t="s">
        <v>308</v>
      </c>
      <c r="G131" s="176">
        <v>11000000</v>
      </c>
      <c r="H131" s="41">
        <v>11000000</v>
      </c>
      <c r="I131" s="22">
        <f t="shared" si="17"/>
        <v>0</v>
      </c>
      <c r="J131" s="55"/>
      <c r="K131" s="115"/>
    </row>
    <row r="132" spans="1:12" s="23" customFormat="1" ht="18.75" customHeight="1">
      <c r="A132" s="13"/>
      <c r="B132" s="25"/>
      <c r="C132" s="18"/>
      <c r="D132" s="265" t="s">
        <v>309</v>
      </c>
      <c r="E132" s="262"/>
      <c r="F132" s="181"/>
      <c r="G132" s="174">
        <f>SUM(G133:G136)</f>
        <v>1000000</v>
      </c>
      <c r="H132" s="37">
        <f>SUM(H133:H136)</f>
        <v>6678000</v>
      </c>
      <c r="I132" s="37">
        <f>SUM(I133:I136)</f>
        <v>-5678000</v>
      </c>
      <c r="J132" s="88"/>
      <c r="K132" s="115"/>
    </row>
    <row r="133" spans="1:12" s="23" customFormat="1" ht="18.75" customHeight="1">
      <c r="A133" s="13"/>
      <c r="B133" s="25"/>
      <c r="C133" s="18"/>
      <c r="D133" s="18"/>
      <c r="E133" s="20" t="s">
        <v>310</v>
      </c>
      <c r="F133" s="18" t="s">
        <v>311</v>
      </c>
      <c r="G133" s="156">
        <v>600000</v>
      </c>
      <c r="H133" s="21">
        <v>600000</v>
      </c>
      <c r="I133" s="22">
        <f t="shared" si="17"/>
        <v>0</v>
      </c>
      <c r="J133" s="88"/>
      <c r="K133" s="115"/>
    </row>
    <row r="134" spans="1:12" s="23" customFormat="1" ht="18.75" customHeight="1">
      <c r="A134" s="13"/>
      <c r="B134" s="25"/>
      <c r="C134" s="18"/>
      <c r="D134" s="18"/>
      <c r="E134" s="20" t="s">
        <v>312</v>
      </c>
      <c r="F134" s="28" t="s">
        <v>313</v>
      </c>
      <c r="G134" s="156">
        <v>400000</v>
      </c>
      <c r="H134" s="21">
        <v>500000</v>
      </c>
      <c r="I134" s="22">
        <f t="shared" si="17"/>
        <v>-100000</v>
      </c>
      <c r="J134" s="88"/>
      <c r="K134" s="115"/>
    </row>
    <row r="135" spans="1:12" s="23" customFormat="1" ht="18.75" customHeight="1">
      <c r="A135" s="13"/>
      <c r="B135" s="25"/>
      <c r="C135" s="18"/>
      <c r="D135" s="18"/>
      <c r="E135" s="20" t="s">
        <v>312</v>
      </c>
      <c r="F135" s="28" t="s">
        <v>314</v>
      </c>
      <c r="G135" s="156">
        <v>0</v>
      </c>
      <c r="H135" s="21">
        <v>1046000</v>
      </c>
      <c r="I135" s="22">
        <f t="shared" si="17"/>
        <v>-1046000</v>
      </c>
      <c r="J135" s="88" t="s">
        <v>315</v>
      </c>
      <c r="K135" s="115"/>
    </row>
    <row r="136" spans="1:12" s="23" customFormat="1" ht="18.75" customHeight="1">
      <c r="A136" s="13"/>
      <c r="B136" s="25"/>
      <c r="C136" s="18"/>
      <c r="D136" s="24"/>
      <c r="E136" s="20" t="s">
        <v>314</v>
      </c>
      <c r="F136" s="28" t="s">
        <v>314</v>
      </c>
      <c r="G136" s="156">
        <v>0</v>
      </c>
      <c r="H136" s="21">
        <v>4532000</v>
      </c>
      <c r="I136" s="22">
        <f t="shared" si="17"/>
        <v>-4532000</v>
      </c>
      <c r="J136" s="88" t="s">
        <v>325</v>
      </c>
      <c r="K136" s="115"/>
    </row>
    <row r="137" spans="1:12" ht="18.75" customHeight="1">
      <c r="A137" s="274" t="s">
        <v>316</v>
      </c>
      <c r="B137" s="275"/>
      <c r="C137" s="275"/>
      <c r="D137" s="275"/>
      <c r="E137" s="275"/>
      <c r="F137" s="183"/>
      <c r="G137" s="184">
        <f>G138+G207+G222+G230+G236</f>
        <v>4211420000</v>
      </c>
      <c r="H137" s="48">
        <f>H138+H207+H222+H230+H236</f>
        <v>1656066000</v>
      </c>
      <c r="I137" s="12">
        <f>I138+I208</f>
        <v>2555354000</v>
      </c>
      <c r="J137" s="90"/>
    </row>
    <row r="138" spans="1:12" ht="18.75" customHeight="1">
      <c r="A138" s="13"/>
      <c r="B138" s="260" t="s">
        <v>317</v>
      </c>
      <c r="C138" s="261"/>
      <c r="D138" s="261"/>
      <c r="E138" s="261"/>
      <c r="F138" s="170"/>
      <c r="G138" s="171">
        <f>G139+G142</f>
        <v>4211420000</v>
      </c>
      <c r="H138" s="14">
        <f>H139+H142</f>
        <v>1656066000</v>
      </c>
      <c r="I138" s="14">
        <f>I139+I142</f>
        <v>2555354000</v>
      </c>
      <c r="J138" s="86"/>
    </row>
    <row r="139" spans="1:12" ht="18.75" customHeight="1">
      <c r="A139" s="15"/>
      <c r="B139" s="16"/>
      <c r="C139" s="248" t="s">
        <v>318</v>
      </c>
      <c r="D139" s="249"/>
      <c r="E139" s="249"/>
      <c r="F139" s="154"/>
      <c r="G139" s="155">
        <f>G140</f>
        <v>1200000000</v>
      </c>
      <c r="H139" s="17">
        <f>H140</f>
        <v>906066000</v>
      </c>
      <c r="I139" s="17">
        <f>I140</f>
        <v>293934000</v>
      </c>
      <c r="J139" s="87"/>
    </row>
    <row r="140" spans="1:12" s="23" customFormat="1" ht="18.75" customHeight="1">
      <c r="A140" s="15"/>
      <c r="B140" s="18"/>
      <c r="C140" s="19"/>
      <c r="D140" s="262" t="s">
        <v>318</v>
      </c>
      <c r="E140" s="262"/>
      <c r="F140" s="59"/>
      <c r="G140" s="156">
        <f>SUM(G141)</f>
        <v>1200000000</v>
      </c>
      <c r="H140" s="21">
        <f>SUM(H141)</f>
        <v>906066000</v>
      </c>
      <c r="I140" s="21">
        <f>SUM(I141)</f>
        <v>293934000</v>
      </c>
      <c r="J140" s="268"/>
      <c r="K140" s="115"/>
      <c r="L140" s="60"/>
    </row>
    <row r="141" spans="1:12" s="23" customFormat="1" ht="18.75" customHeight="1">
      <c r="A141" s="15"/>
      <c r="B141" s="24"/>
      <c r="C141" s="35"/>
      <c r="D141" s="56"/>
      <c r="E141" s="26" t="s">
        <v>319</v>
      </c>
      <c r="F141" s="185" t="s">
        <v>689</v>
      </c>
      <c r="G141" s="159">
        <v>1200000000</v>
      </c>
      <c r="H141" s="27">
        <f>876220000+29846000</f>
        <v>906066000</v>
      </c>
      <c r="I141" s="22">
        <f t="shared" ref="I141" si="18">G141-H141</f>
        <v>293934000</v>
      </c>
      <c r="J141" s="269"/>
      <c r="K141" s="115"/>
      <c r="L141" s="60"/>
    </row>
    <row r="142" spans="1:12" s="23" customFormat="1" ht="18.75" customHeight="1">
      <c r="A142" s="15"/>
      <c r="B142" s="18"/>
      <c r="C142" s="270" t="s">
        <v>320</v>
      </c>
      <c r="D142" s="271"/>
      <c r="E142" s="271"/>
      <c r="F142" s="186"/>
      <c r="G142" s="187">
        <f>G143</f>
        <v>3011420000</v>
      </c>
      <c r="H142" s="140">
        <f>H143</f>
        <v>750000000</v>
      </c>
      <c r="I142" s="140">
        <f>I143</f>
        <v>2261420000</v>
      </c>
      <c r="J142" s="91"/>
      <c r="K142" s="115"/>
      <c r="L142" s="60"/>
    </row>
    <row r="143" spans="1:12" s="10" customFormat="1" ht="18.75" customHeight="1">
      <c r="A143" s="15"/>
      <c r="B143" s="18"/>
      <c r="C143" s="19"/>
      <c r="D143" s="262" t="s">
        <v>191</v>
      </c>
      <c r="E143" s="262"/>
      <c r="F143" s="59"/>
      <c r="G143" s="156">
        <f>SUM(G144:G145)</f>
        <v>3011420000</v>
      </c>
      <c r="H143" s="21">
        <f>SUM(H144:H145)</f>
        <v>750000000</v>
      </c>
      <c r="I143" s="21">
        <f>SUM(I144:I145)</f>
        <v>2261420000</v>
      </c>
      <c r="J143" s="88"/>
      <c r="K143" s="117"/>
      <c r="L143" s="62"/>
    </row>
    <row r="144" spans="1:12" ht="22.5" customHeight="1">
      <c r="A144" s="15"/>
      <c r="B144" s="18"/>
      <c r="C144" s="24"/>
      <c r="D144" s="25"/>
      <c r="E144" s="18" t="s">
        <v>192</v>
      </c>
      <c r="F144" s="16" t="s">
        <v>672</v>
      </c>
      <c r="G144" s="188">
        <v>0</v>
      </c>
      <c r="H144" s="189">
        <v>750000000</v>
      </c>
      <c r="I144" s="106">
        <f t="shared" ref="I144" si="19">G144-H144</f>
        <v>-750000000</v>
      </c>
      <c r="J144" s="190" t="s">
        <v>326</v>
      </c>
    </row>
    <row r="145" spans="1:10" ht="22.5" customHeight="1">
      <c r="A145" s="15"/>
      <c r="B145" s="18"/>
      <c r="C145" s="24"/>
      <c r="D145" s="25"/>
      <c r="E145" s="220" t="s">
        <v>192</v>
      </c>
      <c r="F145" s="221" t="s">
        <v>688</v>
      </c>
      <c r="G145" s="188">
        <v>3011420000</v>
      </c>
      <c r="H145" s="189">
        <v>0</v>
      </c>
      <c r="I145" s="106">
        <f t="shared" ref="I145" si="20">G145-H145</f>
        <v>3011420000</v>
      </c>
      <c r="J145" s="190" t="s">
        <v>326</v>
      </c>
    </row>
    <row r="146" spans="1:10" ht="22.5" customHeight="1">
      <c r="A146" s="272" t="s">
        <v>51</v>
      </c>
      <c r="B146" s="273"/>
      <c r="C146" s="273"/>
      <c r="D146" s="273"/>
      <c r="E146" s="273"/>
      <c r="F146" s="191"/>
      <c r="G146" s="192">
        <f>G137+G46+G5</f>
        <v>19570000000</v>
      </c>
      <c r="H146" s="193">
        <f>H137+H46+H5</f>
        <v>22133889000</v>
      </c>
      <c r="I146" s="193">
        <f>I137+I46+I5</f>
        <v>-2563889000</v>
      </c>
      <c r="J146" s="194"/>
    </row>
    <row r="148" spans="1:10" ht="22.5" customHeight="1">
      <c r="H148" s="62"/>
    </row>
  </sheetData>
  <mergeCells count="46">
    <mergeCell ref="J140:J141"/>
    <mergeCell ref="C142:E142"/>
    <mergeCell ref="D143:E143"/>
    <mergeCell ref="A146:E146"/>
    <mergeCell ref="D128:E128"/>
    <mergeCell ref="D132:E132"/>
    <mergeCell ref="A137:E137"/>
    <mergeCell ref="B138:E138"/>
    <mergeCell ref="C139:E139"/>
    <mergeCell ref="D140:E140"/>
    <mergeCell ref="C127:E127"/>
    <mergeCell ref="C63:E63"/>
    <mergeCell ref="D64:E64"/>
    <mergeCell ref="D80:E80"/>
    <mergeCell ref="D86:E86"/>
    <mergeCell ref="D93:E93"/>
    <mergeCell ref="D96:E96"/>
    <mergeCell ref="D99:E99"/>
    <mergeCell ref="B115:E115"/>
    <mergeCell ref="C116:E116"/>
    <mergeCell ref="D117:E117"/>
    <mergeCell ref="D57:E57"/>
    <mergeCell ref="D36:E36"/>
    <mergeCell ref="D38:E38"/>
    <mergeCell ref="C40:E40"/>
    <mergeCell ref="D41:E41"/>
    <mergeCell ref="C43:E43"/>
    <mergeCell ref="D44:E44"/>
    <mergeCell ref="A46:E46"/>
    <mergeCell ref="B47:E47"/>
    <mergeCell ref="C48:E48"/>
    <mergeCell ref="D49:E49"/>
    <mergeCell ref="D51:E51"/>
    <mergeCell ref="I3:I4"/>
    <mergeCell ref="J3:J4"/>
    <mergeCell ref="J14:J33"/>
    <mergeCell ref="C35:E35"/>
    <mergeCell ref="A3:E3"/>
    <mergeCell ref="F3:F4"/>
    <mergeCell ref="G3:G4"/>
    <mergeCell ref="H3:H4"/>
    <mergeCell ref="A5:E5"/>
    <mergeCell ref="B6:E6"/>
    <mergeCell ref="C7:E7"/>
    <mergeCell ref="D8:E8"/>
    <mergeCell ref="B34:E34"/>
  </mergeCells>
  <phoneticPr fontId="3" type="noConversion"/>
  <printOptions horizontalCentered="1"/>
  <pageMargins left="0.15748031496062992" right="0.15748031496062992" top="0.78740157480314965" bottom="0.70866141732283472" header="0.39370078740157483" footer="0.31496062992125984"/>
  <pageSetup paperSize="9" fitToHeight="0" orientation="portrait" r:id="rId1"/>
  <headerFooter alignWithMargins="0">
    <oddHeader>&amp;C&amp;"-,보통"2014학년도 학교회계 본예산 세입예산서</oddHeader>
    <oddFooter>&amp;C&amp;"맑은 고딕,보통"&amp;8&amp;N페이지 중 &amp;P페이지</oddFooter>
  </headerFooter>
  <ignoredErrors>
    <ignoredError sqref="I80 I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5"/>
  <sheetViews>
    <sheetView tabSelected="1" zoomScaleNormal="100" zoomScaleSheetLayoutView="100" workbookViewId="0">
      <pane ySplit="4" topLeftCell="A466" activePane="bottomLeft" state="frozen"/>
      <selection pane="bottomLeft" activeCell="E481" sqref="E481"/>
    </sheetView>
  </sheetViews>
  <sheetFormatPr defaultRowHeight="22.5" customHeight="1"/>
  <cols>
    <col min="1" max="4" width="3.5546875" style="6" customWidth="1"/>
    <col min="5" max="5" width="13.44140625" style="6" customWidth="1"/>
    <col min="6" max="6" width="13.109375" style="6" customWidth="1"/>
    <col min="7" max="7" width="10.5546875" style="62" customWidth="1"/>
    <col min="8" max="8" width="10.5546875" style="6" customWidth="1"/>
    <col min="9" max="9" width="7.77734375" style="65" customWidth="1"/>
    <col min="10" max="10" width="15" style="58" customWidth="1"/>
    <col min="11" max="12" width="10.5546875" style="132" customWidth="1"/>
    <col min="13" max="13" width="8.88671875" style="62"/>
    <col min="14" max="15" width="8.88671875" style="6"/>
    <col min="16" max="16" width="8.88671875" style="62"/>
    <col min="17" max="16384" width="8.88671875" style="6"/>
  </cols>
  <sheetData>
    <row r="1" spans="1:16" ht="17.25" customHeight="1">
      <c r="A1" s="2" t="s">
        <v>327</v>
      </c>
      <c r="B1" s="2"/>
      <c r="C1" s="2"/>
      <c r="D1" s="3"/>
      <c r="E1" s="2"/>
      <c r="F1" s="3"/>
      <c r="H1" s="4"/>
      <c r="I1" s="63"/>
      <c r="J1" s="5"/>
    </row>
    <row r="2" spans="1:16" ht="17.25" customHeight="1">
      <c r="A2" s="7"/>
      <c r="B2" s="8"/>
      <c r="C2" s="9"/>
      <c r="D2" s="9"/>
      <c r="E2" s="9"/>
      <c r="F2" s="10"/>
      <c r="G2" s="124"/>
      <c r="H2" s="9"/>
      <c r="I2" s="64"/>
      <c r="J2" s="66" t="s">
        <v>328</v>
      </c>
    </row>
    <row r="3" spans="1:16" ht="17.25" customHeight="1">
      <c r="A3" s="282" t="s">
        <v>329</v>
      </c>
      <c r="B3" s="283"/>
      <c r="C3" s="283"/>
      <c r="D3" s="283"/>
      <c r="E3" s="283"/>
      <c r="F3" s="252" t="s">
        <v>330</v>
      </c>
      <c r="G3" s="284" t="s">
        <v>321</v>
      </c>
      <c r="H3" s="256" t="s">
        <v>322</v>
      </c>
      <c r="I3" s="241" t="s">
        <v>35</v>
      </c>
      <c r="J3" s="243" t="s">
        <v>331</v>
      </c>
    </row>
    <row r="4" spans="1:16" ht="17.25" customHeight="1">
      <c r="A4" s="11" t="s">
        <v>332</v>
      </c>
      <c r="B4" s="144" t="s">
        <v>333</v>
      </c>
      <c r="C4" s="144" t="s">
        <v>334</v>
      </c>
      <c r="D4" s="144" t="s">
        <v>335</v>
      </c>
      <c r="E4" s="144" t="s">
        <v>336</v>
      </c>
      <c r="F4" s="253"/>
      <c r="G4" s="285"/>
      <c r="H4" s="257"/>
      <c r="I4" s="242"/>
      <c r="J4" s="244"/>
    </row>
    <row r="5" spans="1:16" ht="18" customHeight="1">
      <c r="A5" s="258" t="s">
        <v>337</v>
      </c>
      <c r="B5" s="259"/>
      <c r="C5" s="259"/>
      <c r="D5" s="259"/>
      <c r="E5" s="259"/>
      <c r="F5" s="150"/>
      <c r="G5" s="151">
        <f>G6+G34+G56+G86</f>
        <v>5024238000</v>
      </c>
      <c r="H5" s="12">
        <f>H6+H34+H56+H86</f>
        <v>4733102000</v>
      </c>
      <c r="I5" s="12">
        <f>I6+I34+I56+I86</f>
        <v>291136000</v>
      </c>
      <c r="J5" s="85"/>
      <c r="K5" s="200"/>
      <c r="N5" s="97"/>
    </row>
    <row r="6" spans="1:16" ht="18" customHeight="1">
      <c r="A6" s="13"/>
      <c r="B6" s="260" t="s">
        <v>338</v>
      </c>
      <c r="C6" s="261"/>
      <c r="D6" s="261"/>
      <c r="E6" s="261"/>
      <c r="F6" s="152"/>
      <c r="G6" s="153">
        <f>G7</f>
        <v>3982814000</v>
      </c>
      <c r="H6" s="14">
        <f>H7</f>
        <v>3696389000</v>
      </c>
      <c r="I6" s="14">
        <f>I7</f>
        <v>286425000</v>
      </c>
      <c r="J6" s="86"/>
      <c r="K6" s="200"/>
      <c r="N6" s="97"/>
    </row>
    <row r="7" spans="1:16" ht="18" customHeight="1">
      <c r="A7" s="15"/>
      <c r="B7" s="16"/>
      <c r="C7" s="248" t="s">
        <v>339</v>
      </c>
      <c r="D7" s="249"/>
      <c r="E7" s="249"/>
      <c r="F7" s="154"/>
      <c r="G7" s="155">
        <f>G8+G29</f>
        <v>3982814000</v>
      </c>
      <c r="H7" s="17">
        <f>H8+H29</f>
        <v>3696389000</v>
      </c>
      <c r="I7" s="17">
        <f>I8+I29</f>
        <v>286425000</v>
      </c>
      <c r="J7" s="87"/>
      <c r="K7" s="200"/>
      <c r="N7" s="97"/>
    </row>
    <row r="8" spans="1:16" s="23" customFormat="1" ht="18" customHeight="1">
      <c r="A8" s="15"/>
      <c r="B8" s="18"/>
      <c r="C8" s="19"/>
      <c r="D8" s="262" t="s">
        <v>340</v>
      </c>
      <c r="E8" s="262"/>
      <c r="F8" s="59"/>
      <c r="G8" s="156">
        <f>SUM(G9:G28)</f>
        <v>3742751000</v>
      </c>
      <c r="H8" s="21">
        <f>SUM(H9:H28)</f>
        <v>3474897000</v>
      </c>
      <c r="I8" s="21">
        <f>SUM(I9:I28)</f>
        <v>267854000</v>
      </c>
      <c r="J8" s="88"/>
      <c r="K8" s="200"/>
      <c r="L8" s="98"/>
      <c r="M8" s="62"/>
      <c r="N8" s="97"/>
      <c r="P8" s="60"/>
    </row>
    <row r="9" spans="1:16" s="23" customFormat="1" ht="18" customHeight="1">
      <c r="A9" s="15"/>
      <c r="B9" s="18"/>
      <c r="C9" s="24"/>
      <c r="D9" s="25"/>
      <c r="E9" s="26" t="s">
        <v>341</v>
      </c>
      <c r="F9" s="28" t="s">
        <v>341</v>
      </c>
      <c r="G9" s="156">
        <v>1920391000</v>
      </c>
      <c r="H9" s="27">
        <v>1775979000</v>
      </c>
      <c r="I9" s="22">
        <f>G9-H9</f>
        <v>144412000</v>
      </c>
      <c r="J9" s="96"/>
      <c r="K9" s="200"/>
      <c r="L9" s="98"/>
      <c r="M9" s="62"/>
      <c r="N9" s="97"/>
      <c r="P9" s="60"/>
    </row>
    <row r="10" spans="1:16" s="23" customFormat="1" ht="18" customHeight="1">
      <c r="A10" s="15"/>
      <c r="B10" s="18"/>
      <c r="C10" s="24"/>
      <c r="D10" s="25"/>
      <c r="E10" s="28" t="s">
        <v>342</v>
      </c>
      <c r="F10" s="28" t="s">
        <v>342</v>
      </c>
      <c r="G10" s="159">
        <v>153634000</v>
      </c>
      <c r="H10" s="27">
        <v>144794000</v>
      </c>
      <c r="I10" s="22">
        <f t="shared" ref="I10:I33" si="0">G10-H10</f>
        <v>8840000</v>
      </c>
      <c r="J10" s="89"/>
      <c r="K10" s="200"/>
      <c r="L10" s="98"/>
      <c r="M10" s="62"/>
      <c r="N10" s="97"/>
      <c r="P10" s="60"/>
    </row>
    <row r="11" spans="1:16" s="23" customFormat="1" ht="18" customHeight="1">
      <c r="A11" s="15"/>
      <c r="B11" s="18"/>
      <c r="C11" s="24"/>
      <c r="D11" s="25"/>
      <c r="E11" s="28" t="s">
        <v>342</v>
      </c>
      <c r="F11" s="28" t="s">
        <v>343</v>
      </c>
      <c r="G11" s="159">
        <v>50110000</v>
      </c>
      <c r="H11" s="27">
        <v>50110000</v>
      </c>
      <c r="I11" s="22">
        <f t="shared" si="0"/>
        <v>0</v>
      </c>
      <c r="J11" s="89"/>
      <c r="K11" s="200"/>
      <c r="L11" s="98"/>
      <c r="M11" s="62"/>
      <c r="N11" s="97"/>
      <c r="P11" s="60"/>
    </row>
    <row r="12" spans="1:16" s="23" customFormat="1" ht="18" customHeight="1">
      <c r="A12" s="15"/>
      <c r="B12" s="18"/>
      <c r="C12" s="24"/>
      <c r="D12" s="25"/>
      <c r="E12" s="28" t="s">
        <v>344</v>
      </c>
      <c r="F12" s="28" t="s">
        <v>344</v>
      </c>
      <c r="G12" s="176">
        <f>(154100000+6010000)+9890000</f>
        <v>170000000</v>
      </c>
      <c r="H12" s="41">
        <f>154100000+6010000</f>
        <v>160110000</v>
      </c>
      <c r="I12" s="22">
        <f t="shared" si="0"/>
        <v>9890000</v>
      </c>
      <c r="J12" s="89"/>
      <c r="K12" s="200"/>
      <c r="L12" s="98"/>
      <c r="M12" s="62"/>
      <c r="N12" s="97"/>
      <c r="P12" s="60"/>
    </row>
    <row r="13" spans="1:16" s="23" customFormat="1" ht="18" customHeight="1">
      <c r="A13" s="15"/>
      <c r="B13" s="18"/>
      <c r="C13" s="24"/>
      <c r="D13" s="25"/>
      <c r="E13" s="20" t="s">
        <v>345</v>
      </c>
      <c r="F13" s="28" t="s">
        <v>345</v>
      </c>
      <c r="G13" s="159">
        <v>40580000</v>
      </c>
      <c r="H13" s="27">
        <v>40580000</v>
      </c>
      <c r="I13" s="22">
        <f t="shared" si="0"/>
        <v>0</v>
      </c>
      <c r="J13" s="89"/>
      <c r="K13" s="200"/>
      <c r="L13" s="98"/>
      <c r="M13" s="62"/>
      <c r="N13" s="97"/>
      <c r="P13" s="60"/>
    </row>
    <row r="14" spans="1:16" s="23" customFormat="1" ht="18" customHeight="1">
      <c r="A14" s="15"/>
      <c r="B14" s="18"/>
      <c r="C14" s="24"/>
      <c r="D14" s="25"/>
      <c r="E14" s="20" t="s">
        <v>346</v>
      </c>
      <c r="F14" s="28" t="s">
        <v>347</v>
      </c>
      <c r="G14" s="159">
        <f>15243000+2757000</f>
        <v>18000000</v>
      </c>
      <c r="H14" s="27">
        <v>15243000</v>
      </c>
      <c r="I14" s="22">
        <f t="shared" si="0"/>
        <v>2757000</v>
      </c>
      <c r="J14" s="89"/>
      <c r="K14" s="200"/>
      <c r="L14" s="98"/>
      <c r="M14" s="62"/>
      <c r="N14" s="97"/>
      <c r="P14" s="60"/>
    </row>
    <row r="15" spans="1:16" s="23" customFormat="1" ht="18" customHeight="1">
      <c r="A15" s="15"/>
      <c r="B15" s="18"/>
      <c r="C15" s="24"/>
      <c r="D15" s="25"/>
      <c r="E15" s="29" t="s">
        <v>348</v>
      </c>
      <c r="F15" s="129" t="s">
        <v>348</v>
      </c>
      <c r="G15" s="159">
        <f>9347000+12653000</f>
        <v>22000000</v>
      </c>
      <c r="H15" s="27">
        <v>9347000</v>
      </c>
      <c r="I15" s="22">
        <f t="shared" si="0"/>
        <v>12653000</v>
      </c>
      <c r="J15" s="89"/>
      <c r="K15" s="200"/>
      <c r="L15" s="98"/>
      <c r="M15" s="62"/>
      <c r="N15" s="97"/>
      <c r="P15" s="60"/>
    </row>
    <row r="16" spans="1:16" s="23" customFormat="1" ht="18" customHeight="1">
      <c r="A16" s="15"/>
      <c r="B16" s="18"/>
      <c r="C16" s="24"/>
      <c r="D16" s="25"/>
      <c r="E16" s="20" t="s">
        <v>349</v>
      </c>
      <c r="F16" s="28" t="s">
        <v>349</v>
      </c>
      <c r="G16" s="176">
        <v>840000</v>
      </c>
      <c r="H16" s="41">
        <v>840000</v>
      </c>
      <c r="I16" s="22">
        <f t="shared" si="0"/>
        <v>0</v>
      </c>
      <c r="J16" s="89"/>
      <c r="K16" s="200"/>
      <c r="L16" s="98"/>
      <c r="M16" s="62"/>
      <c r="N16" s="97"/>
      <c r="P16" s="60"/>
    </row>
    <row r="17" spans="1:16" s="23" customFormat="1" ht="18" customHeight="1">
      <c r="A17" s="15"/>
      <c r="B17" s="18"/>
      <c r="C17" s="24"/>
      <c r="D17" s="25"/>
      <c r="E17" s="20" t="s">
        <v>350</v>
      </c>
      <c r="F17" s="28" t="s">
        <v>350</v>
      </c>
      <c r="G17" s="159">
        <f>150000000+6000000</f>
        <v>156000000</v>
      </c>
      <c r="H17" s="27">
        <v>150000000</v>
      </c>
      <c r="I17" s="22">
        <f t="shared" si="0"/>
        <v>6000000</v>
      </c>
      <c r="J17" s="89"/>
      <c r="K17" s="200"/>
      <c r="L17" s="98"/>
      <c r="M17" s="62"/>
      <c r="N17" s="97"/>
      <c r="P17" s="60"/>
    </row>
    <row r="18" spans="1:16" s="23" customFormat="1" ht="18" customHeight="1">
      <c r="A18" s="15"/>
      <c r="B18" s="18"/>
      <c r="C18" s="24"/>
      <c r="D18" s="25"/>
      <c r="E18" s="20" t="s">
        <v>351</v>
      </c>
      <c r="F18" s="28" t="s">
        <v>352</v>
      </c>
      <c r="G18" s="159">
        <v>6720000</v>
      </c>
      <c r="H18" s="27">
        <v>6720000</v>
      </c>
      <c r="I18" s="22">
        <f t="shared" si="0"/>
        <v>0</v>
      </c>
      <c r="J18" s="89"/>
      <c r="K18" s="200"/>
      <c r="L18" s="98"/>
      <c r="M18" s="62"/>
      <c r="N18" s="97"/>
      <c r="P18" s="60"/>
    </row>
    <row r="19" spans="1:16" s="23" customFormat="1" ht="18" customHeight="1">
      <c r="A19" s="15"/>
      <c r="B19" s="18"/>
      <c r="C19" s="24"/>
      <c r="D19" s="25"/>
      <c r="E19" s="20" t="s">
        <v>353</v>
      </c>
      <c r="F19" s="28" t="s">
        <v>354</v>
      </c>
      <c r="G19" s="159">
        <v>39600000</v>
      </c>
      <c r="H19" s="27">
        <v>39600000</v>
      </c>
      <c r="I19" s="22">
        <f t="shared" si="0"/>
        <v>0</v>
      </c>
      <c r="J19" s="89"/>
      <c r="K19" s="200"/>
      <c r="L19" s="98"/>
      <c r="M19" s="62"/>
      <c r="N19" s="97"/>
      <c r="P19" s="60"/>
    </row>
    <row r="20" spans="1:16" s="23" customFormat="1" ht="18" customHeight="1">
      <c r="A20" s="15"/>
      <c r="B20" s="18"/>
      <c r="C20" s="24"/>
      <c r="D20" s="25"/>
      <c r="E20" s="20" t="s">
        <v>355</v>
      </c>
      <c r="F20" s="28" t="s">
        <v>356</v>
      </c>
      <c r="G20" s="159">
        <v>360000</v>
      </c>
      <c r="H20" s="27">
        <v>360000</v>
      </c>
      <c r="I20" s="22">
        <f t="shared" si="0"/>
        <v>0</v>
      </c>
      <c r="J20" s="89"/>
      <c r="K20" s="200"/>
      <c r="L20" s="98"/>
      <c r="M20" s="62"/>
      <c r="N20" s="97"/>
      <c r="P20" s="60"/>
    </row>
    <row r="21" spans="1:16" ht="18" customHeight="1">
      <c r="A21" s="30"/>
      <c r="B21" s="31"/>
      <c r="C21" s="32"/>
      <c r="D21" s="33"/>
      <c r="E21" s="31" t="s">
        <v>357</v>
      </c>
      <c r="F21" s="28" t="s">
        <v>358</v>
      </c>
      <c r="G21" s="159">
        <v>768157000</v>
      </c>
      <c r="H21" s="27">
        <v>710392000</v>
      </c>
      <c r="I21" s="22">
        <f t="shared" si="0"/>
        <v>57765000</v>
      </c>
      <c r="J21" s="96"/>
      <c r="K21" s="200"/>
      <c r="N21" s="97"/>
    </row>
    <row r="22" spans="1:16" s="23" customFormat="1" ht="18" customHeight="1">
      <c r="A22" s="15"/>
      <c r="B22" s="18"/>
      <c r="C22" s="24"/>
      <c r="D22" s="25"/>
      <c r="E22" s="28" t="s">
        <v>359</v>
      </c>
      <c r="F22" s="28" t="s">
        <v>360</v>
      </c>
      <c r="G22" s="176">
        <f>51122000+3878000</f>
        <v>55000000</v>
      </c>
      <c r="H22" s="41">
        <v>51122000</v>
      </c>
      <c r="I22" s="22">
        <f t="shared" si="0"/>
        <v>3878000</v>
      </c>
      <c r="J22" s="141"/>
      <c r="K22" s="200"/>
      <c r="L22" s="98"/>
      <c r="M22" s="62"/>
      <c r="N22" s="97"/>
      <c r="P22" s="60"/>
    </row>
    <row r="23" spans="1:16" s="23" customFormat="1" ht="18" customHeight="1">
      <c r="A23" s="15"/>
      <c r="B23" s="18"/>
      <c r="C23" s="24"/>
      <c r="D23" s="25"/>
      <c r="E23" s="28" t="s">
        <v>359</v>
      </c>
      <c r="F23" s="28" t="s">
        <v>361</v>
      </c>
      <c r="G23" s="176">
        <f>25000000+5000000</f>
        <v>30000000</v>
      </c>
      <c r="H23" s="41">
        <v>25000000</v>
      </c>
      <c r="I23" s="22">
        <f t="shared" si="0"/>
        <v>5000000</v>
      </c>
      <c r="J23" s="141"/>
      <c r="K23" s="200"/>
      <c r="L23" s="98"/>
      <c r="M23" s="62"/>
      <c r="N23" s="97"/>
      <c r="P23" s="60"/>
    </row>
    <row r="24" spans="1:16" s="23" customFormat="1" ht="18" customHeight="1">
      <c r="A24" s="15"/>
      <c r="B24" s="18"/>
      <c r="C24" s="24"/>
      <c r="D24" s="25"/>
      <c r="E24" s="28" t="s">
        <v>362</v>
      </c>
      <c r="F24" s="28" t="s">
        <v>362</v>
      </c>
      <c r="G24" s="159">
        <v>5800000</v>
      </c>
      <c r="H24" s="27">
        <v>5500000</v>
      </c>
      <c r="I24" s="22">
        <f t="shared" si="0"/>
        <v>300000</v>
      </c>
      <c r="J24" s="89"/>
      <c r="K24" s="200"/>
      <c r="L24" s="98"/>
      <c r="M24" s="62"/>
      <c r="N24" s="97"/>
      <c r="P24" s="60"/>
    </row>
    <row r="25" spans="1:16" s="23" customFormat="1" ht="18" customHeight="1">
      <c r="A25" s="15"/>
      <c r="B25" s="18"/>
      <c r="C25" s="24"/>
      <c r="D25" s="25"/>
      <c r="E25" s="28" t="s">
        <v>363</v>
      </c>
      <c r="F25" s="28" t="s">
        <v>364</v>
      </c>
      <c r="G25" s="159">
        <v>30000000</v>
      </c>
      <c r="H25" s="27">
        <v>30000000</v>
      </c>
      <c r="I25" s="22">
        <f t="shared" si="0"/>
        <v>0</v>
      </c>
      <c r="J25" s="89"/>
      <c r="K25" s="200"/>
      <c r="L25" s="98"/>
      <c r="M25" s="62"/>
      <c r="N25" s="97"/>
      <c r="P25" s="60"/>
    </row>
    <row r="26" spans="1:16" s="23" customFormat="1" ht="18" customHeight="1">
      <c r="A26" s="15"/>
      <c r="B26" s="18"/>
      <c r="C26" s="24"/>
      <c r="D26" s="25"/>
      <c r="E26" s="28" t="s">
        <v>365</v>
      </c>
      <c r="F26" s="28" t="s">
        <v>365</v>
      </c>
      <c r="G26" s="159">
        <f>2400000</f>
        <v>2400000</v>
      </c>
      <c r="H26" s="27">
        <f>2400000</f>
        <v>2400000</v>
      </c>
      <c r="I26" s="22">
        <f t="shared" si="0"/>
        <v>0</v>
      </c>
      <c r="J26" s="89"/>
      <c r="K26" s="200"/>
      <c r="L26" s="98"/>
      <c r="M26" s="62"/>
      <c r="N26" s="97"/>
      <c r="P26" s="60"/>
    </row>
    <row r="27" spans="1:16" s="23" customFormat="1" ht="18" customHeight="1">
      <c r="A27" s="15"/>
      <c r="B27" s="18"/>
      <c r="C27" s="24"/>
      <c r="D27" s="25"/>
      <c r="E27" s="28" t="s">
        <v>366</v>
      </c>
      <c r="F27" s="28" t="s">
        <v>366</v>
      </c>
      <c r="G27" s="176">
        <f>78000000+3120000</f>
        <v>81120000</v>
      </c>
      <c r="H27" s="41">
        <v>78000000</v>
      </c>
      <c r="I27" s="22">
        <f t="shared" si="0"/>
        <v>3120000</v>
      </c>
      <c r="J27" s="93"/>
      <c r="K27" s="200"/>
      <c r="L27" s="98"/>
      <c r="M27" s="62"/>
      <c r="N27" s="97"/>
      <c r="P27" s="60"/>
    </row>
    <row r="28" spans="1:16" s="23" customFormat="1" ht="18" customHeight="1">
      <c r="A28" s="15"/>
      <c r="B28" s="18"/>
      <c r="C28" s="24"/>
      <c r="D28" s="25"/>
      <c r="E28" s="28" t="s">
        <v>367</v>
      </c>
      <c r="F28" s="28" t="s">
        <v>367</v>
      </c>
      <c r="G28" s="176">
        <v>192039000</v>
      </c>
      <c r="H28" s="41">
        <v>178800000</v>
      </c>
      <c r="I28" s="22">
        <f t="shared" si="0"/>
        <v>13239000</v>
      </c>
      <c r="J28" s="141"/>
      <c r="K28" s="200"/>
      <c r="L28" s="98"/>
      <c r="M28" s="62"/>
      <c r="N28" s="97"/>
      <c r="P28" s="60"/>
    </row>
    <row r="29" spans="1:16" s="23" customFormat="1" ht="18" customHeight="1">
      <c r="A29" s="15"/>
      <c r="B29" s="18"/>
      <c r="C29" s="24"/>
      <c r="D29" s="262" t="s">
        <v>368</v>
      </c>
      <c r="E29" s="262"/>
      <c r="F29" s="59"/>
      <c r="G29" s="156">
        <f>SUM(G30:G33)</f>
        <v>240063000</v>
      </c>
      <c r="H29" s="21">
        <f>SUM(H30:H33)</f>
        <v>221492000</v>
      </c>
      <c r="I29" s="21">
        <f>SUM(I30:I33)</f>
        <v>18571000</v>
      </c>
      <c r="J29" s="88"/>
      <c r="K29" s="200"/>
      <c r="L29" s="98"/>
      <c r="M29" s="62"/>
      <c r="N29" s="97"/>
      <c r="P29" s="60"/>
    </row>
    <row r="30" spans="1:16" s="23" customFormat="1" ht="18" customHeight="1">
      <c r="A30" s="15"/>
      <c r="B30" s="18"/>
      <c r="C30" s="24"/>
      <c r="D30" s="34"/>
      <c r="E30" s="40" t="s">
        <v>369</v>
      </c>
      <c r="F30" s="28" t="s">
        <v>370</v>
      </c>
      <c r="G30" s="156">
        <v>155656000</v>
      </c>
      <c r="H30" s="41">
        <v>144341000</v>
      </c>
      <c r="I30" s="22">
        <f t="shared" si="0"/>
        <v>11315000</v>
      </c>
      <c r="J30" s="93"/>
      <c r="K30" s="200"/>
      <c r="L30" s="98"/>
      <c r="M30" s="62"/>
      <c r="N30" s="97"/>
      <c r="P30" s="60"/>
    </row>
    <row r="31" spans="1:16" s="23" customFormat="1" ht="18" customHeight="1">
      <c r="A31" s="15"/>
      <c r="B31" s="18"/>
      <c r="C31" s="24"/>
      <c r="D31" s="34"/>
      <c r="E31" s="40" t="s">
        <v>369</v>
      </c>
      <c r="F31" s="28" t="s">
        <v>371</v>
      </c>
      <c r="G31" s="156">
        <v>12016000</v>
      </c>
      <c r="H31" s="41">
        <v>11142000</v>
      </c>
      <c r="I31" s="22">
        <f t="shared" si="0"/>
        <v>874000</v>
      </c>
      <c r="J31" s="93"/>
      <c r="K31" s="200"/>
      <c r="L31" s="98"/>
      <c r="M31" s="62"/>
      <c r="N31" s="97"/>
      <c r="P31" s="60"/>
    </row>
    <row r="32" spans="1:16" s="23" customFormat="1" ht="18" customHeight="1">
      <c r="A32" s="15"/>
      <c r="B32" s="18"/>
      <c r="C32" s="24"/>
      <c r="D32" s="34"/>
      <c r="E32" s="29" t="s">
        <v>369</v>
      </c>
      <c r="F32" s="28" t="s">
        <v>372</v>
      </c>
      <c r="G32" s="156">
        <v>67941000</v>
      </c>
      <c r="H32" s="27">
        <v>61951000</v>
      </c>
      <c r="I32" s="22">
        <f t="shared" si="0"/>
        <v>5990000</v>
      </c>
      <c r="J32" s="89"/>
      <c r="K32" s="200"/>
      <c r="L32" s="98"/>
      <c r="M32" s="62"/>
      <c r="N32" s="97"/>
      <c r="P32" s="60"/>
    </row>
    <row r="33" spans="1:16" s="23" customFormat="1" ht="18" customHeight="1">
      <c r="A33" s="15"/>
      <c r="B33" s="26"/>
      <c r="C33" s="35"/>
      <c r="D33" s="128"/>
      <c r="E33" s="29" t="s">
        <v>369</v>
      </c>
      <c r="F33" s="28" t="s">
        <v>373</v>
      </c>
      <c r="G33" s="156">
        <v>4450000</v>
      </c>
      <c r="H33" s="27">
        <v>4058000</v>
      </c>
      <c r="I33" s="22">
        <f t="shared" si="0"/>
        <v>392000</v>
      </c>
      <c r="J33" s="89"/>
      <c r="K33" s="200"/>
      <c r="L33" s="98"/>
      <c r="M33" s="62"/>
      <c r="N33" s="97"/>
      <c r="P33" s="60"/>
    </row>
    <row r="34" spans="1:16" ht="18" customHeight="1">
      <c r="A34" s="13"/>
      <c r="B34" s="260" t="s">
        <v>374</v>
      </c>
      <c r="C34" s="261"/>
      <c r="D34" s="261"/>
      <c r="E34" s="261"/>
      <c r="F34" s="152"/>
      <c r="G34" s="153">
        <f>G35</f>
        <v>424466000</v>
      </c>
      <c r="H34" s="14">
        <f>H35</f>
        <v>385537000</v>
      </c>
      <c r="I34" s="14">
        <f>I35</f>
        <v>38929000</v>
      </c>
      <c r="J34" s="86"/>
      <c r="K34" s="200"/>
      <c r="N34" s="97"/>
    </row>
    <row r="35" spans="1:16" ht="18" customHeight="1">
      <c r="A35" s="15"/>
      <c r="B35" s="24"/>
      <c r="C35" s="248" t="s">
        <v>375</v>
      </c>
      <c r="D35" s="249"/>
      <c r="E35" s="249"/>
      <c r="F35" s="154"/>
      <c r="G35" s="155">
        <f>G36+G51</f>
        <v>424466000</v>
      </c>
      <c r="H35" s="17">
        <f>H36+H51</f>
        <v>385537000</v>
      </c>
      <c r="I35" s="17">
        <f>I36+I51</f>
        <v>38929000</v>
      </c>
      <c r="J35" s="87"/>
      <c r="K35" s="200"/>
      <c r="N35" s="97"/>
    </row>
    <row r="36" spans="1:16" s="23" customFormat="1" ht="18" customHeight="1">
      <c r="A36" s="15"/>
      <c r="B36" s="18"/>
      <c r="C36" s="24"/>
      <c r="D36" s="262" t="s">
        <v>340</v>
      </c>
      <c r="E36" s="262"/>
      <c r="F36" s="201"/>
      <c r="G36" s="139">
        <f>SUM(G37:G50)</f>
        <v>383625000</v>
      </c>
      <c r="H36" s="21">
        <f>SUM(H37:H50)</f>
        <v>353309000</v>
      </c>
      <c r="I36" s="21">
        <f>SUM(I37:I50)</f>
        <v>30316000</v>
      </c>
      <c r="J36" s="88"/>
      <c r="K36" s="200"/>
      <c r="L36" s="98"/>
      <c r="M36" s="62"/>
      <c r="N36" s="97"/>
      <c r="P36" s="60"/>
    </row>
    <row r="37" spans="1:16" s="23" customFormat="1" ht="18" customHeight="1">
      <c r="A37" s="15"/>
      <c r="B37" s="18"/>
      <c r="C37" s="24"/>
      <c r="D37" s="25"/>
      <c r="E37" s="20" t="s">
        <v>341</v>
      </c>
      <c r="F37" s="28" t="s">
        <v>341</v>
      </c>
      <c r="G37" s="156">
        <v>191231000</v>
      </c>
      <c r="H37" s="27">
        <v>174342000</v>
      </c>
      <c r="I37" s="22">
        <f>G37-H37</f>
        <v>16889000</v>
      </c>
      <c r="J37" s="96"/>
      <c r="K37" s="200"/>
      <c r="L37" s="98"/>
      <c r="M37" s="62"/>
      <c r="N37" s="97"/>
      <c r="P37" s="60"/>
    </row>
    <row r="38" spans="1:16" s="23" customFormat="1" ht="18" customHeight="1">
      <c r="A38" s="15"/>
      <c r="B38" s="18"/>
      <c r="C38" s="24"/>
      <c r="D38" s="25"/>
      <c r="E38" s="20" t="s">
        <v>342</v>
      </c>
      <c r="F38" s="28" t="s">
        <v>342</v>
      </c>
      <c r="G38" s="159">
        <v>13925000</v>
      </c>
      <c r="H38" s="27">
        <v>13173000</v>
      </c>
      <c r="I38" s="22">
        <f t="shared" ref="I38:I50" si="1">G38-H38</f>
        <v>752000</v>
      </c>
      <c r="J38" s="89"/>
      <c r="K38" s="200"/>
      <c r="L38" s="98"/>
      <c r="M38" s="62"/>
      <c r="N38" s="97"/>
      <c r="P38" s="60"/>
    </row>
    <row r="39" spans="1:16" s="23" customFormat="1" ht="18" customHeight="1">
      <c r="A39" s="15"/>
      <c r="B39" s="18"/>
      <c r="C39" s="24"/>
      <c r="D39" s="25"/>
      <c r="E39" s="20" t="s">
        <v>342</v>
      </c>
      <c r="F39" s="28" t="s">
        <v>343</v>
      </c>
      <c r="G39" s="159">
        <f>4610000+550000</f>
        <v>5160000</v>
      </c>
      <c r="H39" s="27">
        <v>4610000</v>
      </c>
      <c r="I39" s="22">
        <f t="shared" si="1"/>
        <v>550000</v>
      </c>
      <c r="J39" s="89"/>
      <c r="K39" s="200"/>
      <c r="L39" s="98"/>
      <c r="M39" s="62"/>
      <c r="N39" s="97"/>
      <c r="P39" s="60"/>
    </row>
    <row r="40" spans="1:16" s="23" customFormat="1" ht="18" customHeight="1">
      <c r="A40" s="15"/>
      <c r="B40" s="18"/>
      <c r="C40" s="24"/>
      <c r="D40" s="25"/>
      <c r="E40" s="20" t="s">
        <v>376</v>
      </c>
      <c r="F40" s="28" t="s">
        <v>376</v>
      </c>
      <c r="G40" s="159">
        <f>17169000+2531000</f>
        <v>19700000</v>
      </c>
      <c r="H40" s="27">
        <v>17169000</v>
      </c>
      <c r="I40" s="22">
        <f t="shared" si="1"/>
        <v>2531000</v>
      </c>
      <c r="J40" s="89"/>
      <c r="K40" s="200"/>
      <c r="L40" s="98"/>
      <c r="M40" s="62"/>
      <c r="N40" s="97"/>
      <c r="P40" s="60"/>
    </row>
    <row r="41" spans="1:16" s="23" customFormat="1" ht="18" customHeight="1">
      <c r="A41" s="15"/>
      <c r="B41" s="18"/>
      <c r="C41" s="24"/>
      <c r="D41" s="25"/>
      <c r="E41" s="20" t="s">
        <v>377</v>
      </c>
      <c r="F41" s="28" t="s">
        <v>377</v>
      </c>
      <c r="G41" s="159">
        <v>4520000</v>
      </c>
      <c r="H41" s="27">
        <v>4520000</v>
      </c>
      <c r="I41" s="22">
        <f t="shared" si="1"/>
        <v>0</v>
      </c>
      <c r="J41" s="89"/>
      <c r="K41" s="200"/>
      <c r="L41" s="98"/>
      <c r="M41" s="62"/>
      <c r="N41" s="97"/>
      <c r="P41" s="60"/>
    </row>
    <row r="42" spans="1:16" s="23" customFormat="1" ht="18" customHeight="1">
      <c r="A42" s="15"/>
      <c r="B42" s="18"/>
      <c r="C42" s="24"/>
      <c r="D42" s="25"/>
      <c r="E42" s="20" t="s">
        <v>378</v>
      </c>
      <c r="F42" s="28" t="s">
        <v>378</v>
      </c>
      <c r="G42" s="159">
        <v>3574000</v>
      </c>
      <c r="H42" s="27">
        <v>3574000</v>
      </c>
      <c r="I42" s="22">
        <f t="shared" si="1"/>
        <v>0</v>
      </c>
      <c r="J42" s="96"/>
      <c r="K42" s="200"/>
      <c r="L42" s="98"/>
      <c r="M42" s="62"/>
      <c r="N42" s="97"/>
      <c r="P42" s="60"/>
    </row>
    <row r="43" spans="1:16" s="23" customFormat="1" ht="18" customHeight="1">
      <c r="A43" s="15"/>
      <c r="B43" s="18"/>
      <c r="C43" s="24"/>
      <c r="D43" s="25"/>
      <c r="E43" s="29" t="s">
        <v>379</v>
      </c>
      <c r="F43" s="28" t="s">
        <v>380</v>
      </c>
      <c r="G43" s="159">
        <v>76492000</v>
      </c>
      <c r="H43" s="27">
        <v>71530000</v>
      </c>
      <c r="I43" s="22">
        <f t="shared" si="1"/>
        <v>4962000</v>
      </c>
      <c r="J43" s="96"/>
      <c r="K43" s="200"/>
      <c r="L43" s="98"/>
      <c r="M43" s="62"/>
      <c r="N43" s="97"/>
      <c r="P43" s="60"/>
    </row>
    <row r="44" spans="1:16" s="23" customFormat="1" ht="18" customHeight="1">
      <c r="A44" s="15"/>
      <c r="B44" s="18"/>
      <c r="C44" s="24"/>
      <c r="D44" s="25"/>
      <c r="E44" s="20" t="s">
        <v>381</v>
      </c>
      <c r="F44" s="28" t="s">
        <v>382</v>
      </c>
      <c r="G44" s="159">
        <f>6514000+486000</f>
        <v>7000000</v>
      </c>
      <c r="H44" s="27">
        <v>6514000</v>
      </c>
      <c r="I44" s="22">
        <f t="shared" si="1"/>
        <v>486000</v>
      </c>
      <c r="J44" s="89"/>
      <c r="K44" s="200"/>
      <c r="L44" s="98"/>
      <c r="M44" s="62"/>
      <c r="N44" s="97"/>
      <c r="P44" s="60"/>
    </row>
    <row r="45" spans="1:16" s="23" customFormat="1" ht="18" customHeight="1">
      <c r="A45" s="15"/>
      <c r="B45" s="18"/>
      <c r="C45" s="24"/>
      <c r="D45" s="25"/>
      <c r="E45" s="20" t="s">
        <v>381</v>
      </c>
      <c r="F45" s="28" t="s">
        <v>383</v>
      </c>
      <c r="G45" s="156">
        <v>5000000</v>
      </c>
      <c r="H45" s="27">
        <v>5000000</v>
      </c>
      <c r="I45" s="22">
        <f t="shared" si="1"/>
        <v>0</v>
      </c>
      <c r="J45" s="89"/>
      <c r="K45" s="200"/>
      <c r="L45" s="98"/>
      <c r="M45" s="62"/>
      <c r="N45" s="97"/>
      <c r="P45" s="60"/>
    </row>
    <row r="46" spans="1:16" s="23" customFormat="1" ht="18" customHeight="1">
      <c r="A46" s="15"/>
      <c r="B46" s="18"/>
      <c r="C46" s="24"/>
      <c r="D46" s="25"/>
      <c r="E46" s="20" t="s">
        <v>384</v>
      </c>
      <c r="F46" s="28" t="s">
        <v>385</v>
      </c>
      <c r="G46" s="159">
        <v>7200000</v>
      </c>
      <c r="H46" s="27">
        <v>7200000</v>
      </c>
      <c r="I46" s="22">
        <f t="shared" si="1"/>
        <v>0</v>
      </c>
      <c r="J46" s="89"/>
      <c r="K46" s="200"/>
      <c r="L46" s="98"/>
      <c r="M46" s="62"/>
      <c r="N46" s="97"/>
      <c r="P46" s="60"/>
    </row>
    <row r="47" spans="1:16" s="23" customFormat="1" ht="18" customHeight="1">
      <c r="A47" s="15"/>
      <c r="B47" s="18"/>
      <c r="C47" s="24"/>
      <c r="D47" s="25"/>
      <c r="E47" s="20" t="s">
        <v>386</v>
      </c>
      <c r="F47" s="28" t="s">
        <v>386</v>
      </c>
      <c r="G47" s="159">
        <v>9360000</v>
      </c>
      <c r="H47" s="27">
        <v>9360000</v>
      </c>
      <c r="I47" s="22">
        <f t="shared" si="1"/>
        <v>0</v>
      </c>
      <c r="J47" s="89"/>
      <c r="K47" s="200"/>
      <c r="L47" s="98"/>
      <c r="M47" s="62"/>
      <c r="N47" s="97"/>
      <c r="P47" s="60"/>
    </row>
    <row r="48" spans="1:16" s="23" customFormat="1" ht="18" customHeight="1">
      <c r="A48" s="15"/>
      <c r="B48" s="18"/>
      <c r="C48" s="24"/>
      <c r="D48" s="25"/>
      <c r="E48" s="20" t="s">
        <v>387</v>
      </c>
      <c r="F48" s="28" t="s">
        <v>387</v>
      </c>
      <c r="G48" s="159">
        <v>19123000</v>
      </c>
      <c r="H48" s="27">
        <v>17984000</v>
      </c>
      <c r="I48" s="22">
        <f t="shared" si="1"/>
        <v>1139000</v>
      </c>
      <c r="J48" s="96"/>
      <c r="K48" s="200"/>
      <c r="L48" s="98"/>
      <c r="M48" s="62"/>
      <c r="N48" s="97"/>
      <c r="P48" s="60"/>
    </row>
    <row r="49" spans="1:16" s="23" customFormat="1" ht="18" customHeight="1">
      <c r="A49" s="15"/>
      <c r="B49" s="18"/>
      <c r="C49" s="24"/>
      <c r="D49" s="25"/>
      <c r="E49" s="20" t="s">
        <v>388</v>
      </c>
      <c r="F49" s="28" t="s">
        <v>388</v>
      </c>
      <c r="G49" s="176">
        <f>7593000+3007000</f>
        <v>10600000</v>
      </c>
      <c r="H49" s="41">
        <v>7593000</v>
      </c>
      <c r="I49" s="22">
        <f t="shared" si="1"/>
        <v>3007000</v>
      </c>
      <c r="J49" s="141"/>
      <c r="K49" s="200"/>
      <c r="L49" s="98"/>
      <c r="M49" s="62"/>
      <c r="N49" s="97"/>
      <c r="P49" s="60"/>
    </row>
    <row r="50" spans="1:16" s="23" customFormat="1" ht="18" customHeight="1">
      <c r="A50" s="15"/>
      <c r="B50" s="18"/>
      <c r="C50" s="24"/>
      <c r="D50" s="25"/>
      <c r="E50" s="20" t="s">
        <v>389</v>
      </c>
      <c r="F50" s="28" t="s">
        <v>389</v>
      </c>
      <c r="G50" s="176">
        <v>10740000</v>
      </c>
      <c r="H50" s="41">
        <v>10740000</v>
      </c>
      <c r="I50" s="22">
        <f t="shared" si="1"/>
        <v>0</v>
      </c>
      <c r="J50" s="93"/>
      <c r="K50" s="200"/>
      <c r="L50" s="98"/>
      <c r="M50" s="62"/>
      <c r="N50" s="97"/>
      <c r="P50" s="60"/>
    </row>
    <row r="51" spans="1:16" s="23" customFormat="1" ht="18" customHeight="1">
      <c r="A51" s="15"/>
      <c r="B51" s="18"/>
      <c r="C51" s="24"/>
      <c r="D51" s="262" t="s">
        <v>390</v>
      </c>
      <c r="E51" s="262"/>
      <c r="F51" s="59"/>
      <c r="G51" s="156">
        <f>SUM(G52:G55)</f>
        <v>40841000</v>
      </c>
      <c r="H51" s="21">
        <f>SUM(H52:H55)</f>
        <v>32228000</v>
      </c>
      <c r="I51" s="21">
        <f>SUM(I52:I55)</f>
        <v>8613000</v>
      </c>
      <c r="J51" s="88"/>
      <c r="K51" s="200"/>
      <c r="L51" s="98"/>
      <c r="M51" s="62"/>
      <c r="N51" s="97"/>
      <c r="P51" s="60"/>
    </row>
    <row r="52" spans="1:16" s="23" customFormat="1" ht="18" customHeight="1">
      <c r="A52" s="15"/>
      <c r="B52" s="18"/>
      <c r="C52" s="24"/>
      <c r="D52" s="34"/>
      <c r="E52" s="40" t="s">
        <v>391</v>
      </c>
      <c r="F52" s="28" t="s">
        <v>392</v>
      </c>
      <c r="G52" s="176">
        <v>27203000</v>
      </c>
      <c r="H52" s="41">
        <v>24611000</v>
      </c>
      <c r="I52" s="22">
        <f>G52-H52</f>
        <v>2592000</v>
      </c>
      <c r="J52" s="93"/>
      <c r="K52" s="200"/>
      <c r="L52" s="98"/>
      <c r="M52" s="62"/>
      <c r="N52" s="97"/>
      <c r="P52" s="60"/>
    </row>
    <row r="53" spans="1:16" s="23" customFormat="1" ht="18" customHeight="1">
      <c r="A53" s="15"/>
      <c r="B53" s="18"/>
      <c r="C53" s="24"/>
      <c r="D53" s="25"/>
      <c r="E53" s="40" t="s">
        <v>393</v>
      </c>
      <c r="F53" s="28" t="s">
        <v>394</v>
      </c>
      <c r="G53" s="176">
        <v>1235000</v>
      </c>
      <c r="H53" s="41">
        <v>1123000</v>
      </c>
      <c r="I53" s="22">
        <f t="shared" ref="I53:I55" si="2">G53-H53</f>
        <v>112000</v>
      </c>
      <c r="J53" s="93"/>
      <c r="K53" s="200"/>
      <c r="L53" s="98"/>
      <c r="M53" s="62"/>
      <c r="N53" s="97"/>
      <c r="P53" s="60"/>
    </row>
    <row r="54" spans="1:16" s="23" customFormat="1" ht="18" customHeight="1">
      <c r="A54" s="15"/>
      <c r="B54" s="18"/>
      <c r="C54" s="24"/>
      <c r="D54" s="25"/>
      <c r="E54" s="40" t="s">
        <v>393</v>
      </c>
      <c r="F54" s="28" t="s">
        <v>395</v>
      </c>
      <c r="G54" s="156">
        <v>11640000</v>
      </c>
      <c r="H54" s="41">
        <v>6086000</v>
      </c>
      <c r="I54" s="22">
        <f t="shared" si="2"/>
        <v>5554000</v>
      </c>
      <c r="J54" s="226"/>
      <c r="K54" s="200"/>
      <c r="L54" s="98"/>
      <c r="M54" s="62"/>
      <c r="N54" s="97"/>
      <c r="P54" s="60"/>
    </row>
    <row r="55" spans="1:16" ht="18" customHeight="1">
      <c r="A55" s="15"/>
      <c r="B55" s="26"/>
      <c r="C55" s="35"/>
      <c r="D55" s="127"/>
      <c r="E55" s="29" t="s">
        <v>393</v>
      </c>
      <c r="F55" s="28" t="s">
        <v>683</v>
      </c>
      <c r="G55" s="156">
        <v>763000</v>
      </c>
      <c r="H55" s="27">
        <v>408000</v>
      </c>
      <c r="I55" s="22">
        <f t="shared" si="2"/>
        <v>355000</v>
      </c>
      <c r="J55" s="89"/>
      <c r="K55" s="200"/>
      <c r="N55" s="97"/>
    </row>
    <row r="56" spans="1:16" s="23" customFormat="1" ht="18" customHeight="1">
      <c r="A56" s="13"/>
      <c r="B56" s="260" t="s">
        <v>396</v>
      </c>
      <c r="C56" s="261"/>
      <c r="D56" s="261"/>
      <c r="E56" s="261"/>
      <c r="F56" s="152"/>
      <c r="G56" s="153">
        <f>G57+G81</f>
        <v>419458000</v>
      </c>
      <c r="H56" s="14">
        <f>H57+H81</f>
        <v>503378000</v>
      </c>
      <c r="I56" s="14">
        <f>I57+I81</f>
        <v>-83920000</v>
      </c>
      <c r="J56" s="86"/>
      <c r="K56" s="200"/>
      <c r="L56" s="98"/>
      <c r="M56" s="62"/>
      <c r="N56" s="97"/>
      <c r="P56" s="60"/>
    </row>
    <row r="57" spans="1:16" s="23" customFormat="1" ht="18" customHeight="1">
      <c r="A57" s="15"/>
      <c r="B57" s="18"/>
      <c r="C57" s="248" t="s">
        <v>682</v>
      </c>
      <c r="D57" s="249"/>
      <c r="E57" s="249"/>
      <c r="F57" s="154"/>
      <c r="G57" s="155">
        <f>G58+G61+G68+G72+G79</f>
        <v>376438000</v>
      </c>
      <c r="H57" s="17">
        <f>H58+H61+H68+H72+H79</f>
        <v>462998000</v>
      </c>
      <c r="I57" s="17">
        <f>I58+I61+I68+I72+I79</f>
        <v>-86560000</v>
      </c>
      <c r="J57" s="87"/>
      <c r="K57" s="200"/>
      <c r="L57" s="98"/>
      <c r="M57" s="62"/>
      <c r="N57" s="97"/>
      <c r="P57" s="60"/>
    </row>
    <row r="58" spans="1:16" s="23" customFormat="1" ht="18" customHeight="1">
      <c r="A58" s="15"/>
      <c r="B58" s="18"/>
      <c r="C58" s="19"/>
      <c r="D58" s="262" t="s">
        <v>397</v>
      </c>
      <c r="E58" s="262"/>
      <c r="F58" s="59"/>
      <c r="G58" s="156">
        <f>SUM(G59:G60)</f>
        <v>240000000</v>
      </c>
      <c r="H58" s="21">
        <f>SUM(H59:H60)</f>
        <v>362987000</v>
      </c>
      <c r="I58" s="21">
        <f>SUM(I59:I60)</f>
        <v>-122987000</v>
      </c>
      <c r="J58" s="88"/>
      <c r="K58" s="200"/>
      <c r="L58" s="98"/>
      <c r="M58" s="62"/>
      <c r="N58" s="97"/>
      <c r="P58" s="60"/>
    </row>
    <row r="59" spans="1:16" s="23" customFormat="1" ht="18" customHeight="1">
      <c r="A59" s="15"/>
      <c r="B59" s="18"/>
      <c r="C59" s="24"/>
      <c r="D59" s="25"/>
      <c r="E59" s="20" t="s">
        <v>398</v>
      </c>
      <c r="F59" s="28" t="s">
        <v>399</v>
      </c>
      <c r="G59" s="159">
        <v>240000000</v>
      </c>
      <c r="H59" s="27">
        <v>243717000</v>
      </c>
      <c r="I59" s="27">
        <f>G59-H59</f>
        <v>-3717000</v>
      </c>
      <c r="J59" s="44"/>
      <c r="K59" s="200"/>
      <c r="L59" s="98"/>
      <c r="M59" s="62"/>
      <c r="N59" s="97"/>
      <c r="P59" s="60"/>
    </row>
    <row r="60" spans="1:16" s="23" customFormat="1" ht="18" customHeight="1">
      <c r="A60" s="15"/>
      <c r="B60" s="18"/>
      <c r="C60" s="24"/>
      <c r="D60" s="25"/>
      <c r="E60" s="20" t="s">
        <v>400</v>
      </c>
      <c r="F60" s="59" t="s">
        <v>401</v>
      </c>
      <c r="G60" s="176">
        <v>0</v>
      </c>
      <c r="H60" s="41">
        <f>95020000+24250000</f>
        <v>119270000</v>
      </c>
      <c r="I60" s="41">
        <f>G60-H60</f>
        <v>-119270000</v>
      </c>
      <c r="J60" s="55" t="s">
        <v>716</v>
      </c>
      <c r="K60" s="200"/>
      <c r="L60" s="98"/>
      <c r="M60" s="62"/>
      <c r="N60" s="97"/>
      <c r="P60" s="60"/>
    </row>
    <row r="61" spans="1:16" s="23" customFormat="1" ht="18" customHeight="1">
      <c r="A61" s="15"/>
      <c r="B61" s="18"/>
      <c r="C61" s="24"/>
      <c r="D61" s="262" t="s">
        <v>368</v>
      </c>
      <c r="E61" s="262"/>
      <c r="F61" s="59"/>
      <c r="G61" s="156">
        <f>SUM(G62:G67)</f>
        <v>40676000</v>
      </c>
      <c r="H61" s="21">
        <f>SUM(H62:H67)</f>
        <v>60585000</v>
      </c>
      <c r="I61" s="21">
        <f>SUM(I62:I67)</f>
        <v>-19909000</v>
      </c>
      <c r="J61" s="88"/>
      <c r="K61" s="200"/>
      <c r="L61" s="98"/>
      <c r="M61" s="62"/>
      <c r="N61" s="97"/>
      <c r="P61" s="60"/>
    </row>
    <row r="62" spans="1:16" s="23" customFormat="1" ht="18" customHeight="1">
      <c r="A62" s="15"/>
      <c r="B62" s="18"/>
      <c r="C62" s="24"/>
      <c r="D62" s="25"/>
      <c r="E62" s="40" t="s">
        <v>402</v>
      </c>
      <c r="F62" s="179" t="s">
        <v>707</v>
      </c>
      <c r="G62" s="176">
        <v>10800000</v>
      </c>
      <c r="H62" s="41">
        <v>16335000</v>
      </c>
      <c r="I62" s="41">
        <f>G62-H62</f>
        <v>-5535000</v>
      </c>
      <c r="J62" s="93"/>
      <c r="K62" s="200"/>
      <c r="L62" s="98"/>
      <c r="M62" s="62"/>
      <c r="N62" s="97"/>
      <c r="P62" s="60"/>
    </row>
    <row r="63" spans="1:16" s="23" customFormat="1" ht="18" customHeight="1">
      <c r="A63" s="15"/>
      <c r="B63" s="18"/>
      <c r="C63" s="24"/>
      <c r="D63" s="25"/>
      <c r="E63" s="40" t="s">
        <v>402</v>
      </c>
      <c r="F63" s="179" t="s">
        <v>708</v>
      </c>
      <c r="G63" s="176">
        <v>4313000</v>
      </c>
      <c r="H63" s="41">
        <v>6414000</v>
      </c>
      <c r="I63" s="41">
        <f t="shared" ref="I63:I80" si="3">G63-H63</f>
        <v>-2101000</v>
      </c>
      <c r="J63" s="93"/>
      <c r="K63" s="200"/>
      <c r="L63" s="98"/>
      <c r="M63" s="62"/>
      <c r="N63" s="97"/>
      <c r="P63" s="60"/>
    </row>
    <row r="64" spans="1:16" s="23" customFormat="1" ht="18" customHeight="1">
      <c r="A64" s="15"/>
      <c r="B64" s="18"/>
      <c r="C64" s="24"/>
      <c r="D64" s="35"/>
      <c r="E64" s="40" t="s">
        <v>402</v>
      </c>
      <c r="F64" s="179" t="s">
        <v>709</v>
      </c>
      <c r="G64" s="176">
        <v>283000</v>
      </c>
      <c r="H64" s="41">
        <v>421000</v>
      </c>
      <c r="I64" s="41">
        <f>G64-H64</f>
        <v>-138000</v>
      </c>
      <c r="J64" s="93"/>
      <c r="K64" s="200"/>
      <c r="L64" s="98"/>
      <c r="M64" s="62"/>
      <c r="N64" s="97"/>
      <c r="P64" s="60"/>
    </row>
    <row r="65" spans="1:16" s="23" customFormat="1" ht="18" customHeight="1">
      <c r="A65" s="15"/>
      <c r="B65" s="18"/>
      <c r="C65" s="24"/>
      <c r="D65" s="25"/>
      <c r="E65" s="40" t="s">
        <v>402</v>
      </c>
      <c r="F65" s="179" t="s">
        <v>710</v>
      </c>
      <c r="G65" s="176">
        <v>3600000</v>
      </c>
      <c r="H65" s="41">
        <v>5082000</v>
      </c>
      <c r="I65" s="41">
        <f>G65-H65</f>
        <v>-1482000</v>
      </c>
      <c r="J65" s="93"/>
      <c r="K65" s="200"/>
      <c r="L65" s="98"/>
      <c r="M65" s="62"/>
      <c r="N65" s="97"/>
      <c r="P65" s="60"/>
    </row>
    <row r="66" spans="1:16" s="23" customFormat="1" ht="18" customHeight="1">
      <c r="A66" s="15"/>
      <c r="B66" s="18"/>
      <c r="C66" s="24"/>
      <c r="D66" s="25"/>
      <c r="E66" s="40" t="s">
        <v>402</v>
      </c>
      <c r="F66" s="179" t="s">
        <v>711</v>
      </c>
      <c r="G66" s="176">
        <v>1680000</v>
      </c>
      <c r="H66" s="41">
        <v>2084000</v>
      </c>
      <c r="I66" s="41">
        <f t="shared" si="3"/>
        <v>-404000</v>
      </c>
      <c r="J66" s="93"/>
      <c r="K66" s="200"/>
      <c r="L66" s="98"/>
      <c r="M66" s="62"/>
      <c r="N66" s="97"/>
      <c r="P66" s="60"/>
    </row>
    <row r="67" spans="1:16" s="23" customFormat="1" ht="18" customHeight="1">
      <c r="A67" s="15"/>
      <c r="B67" s="18"/>
      <c r="C67" s="24"/>
      <c r="D67" s="25"/>
      <c r="E67" s="40" t="s">
        <v>402</v>
      </c>
      <c r="F67" s="179" t="s">
        <v>712</v>
      </c>
      <c r="G67" s="176">
        <v>20000000</v>
      </c>
      <c r="H67" s="41">
        <v>30249000</v>
      </c>
      <c r="I67" s="41">
        <f t="shared" si="3"/>
        <v>-10249000</v>
      </c>
      <c r="J67" s="93"/>
      <c r="K67" s="200"/>
      <c r="L67" s="98"/>
      <c r="M67" s="62"/>
      <c r="N67" s="97"/>
      <c r="P67" s="60"/>
    </row>
    <row r="68" spans="1:16" s="23" customFormat="1" ht="18" customHeight="1">
      <c r="A68" s="15"/>
      <c r="B68" s="18"/>
      <c r="C68" s="24"/>
      <c r="D68" s="267" t="s">
        <v>403</v>
      </c>
      <c r="E68" s="267"/>
      <c r="F68" s="59"/>
      <c r="G68" s="202">
        <f>SUM(G69:G71)</f>
        <v>81000000</v>
      </c>
      <c r="H68" s="42">
        <f>SUM(H69:H71)</f>
        <v>35000000</v>
      </c>
      <c r="I68" s="42">
        <f>SUM(I69:I71)</f>
        <v>46000000</v>
      </c>
      <c r="J68" s="223"/>
      <c r="K68" s="200"/>
      <c r="L68" s="98"/>
      <c r="M68" s="62"/>
      <c r="N68" s="97"/>
      <c r="P68" s="60"/>
    </row>
    <row r="69" spans="1:16" s="23" customFormat="1" ht="18" customHeight="1">
      <c r="A69" s="15"/>
      <c r="B69" s="18"/>
      <c r="C69" s="24"/>
      <c r="D69" s="43"/>
      <c r="E69" s="40" t="s">
        <v>404</v>
      </c>
      <c r="F69" s="182" t="s">
        <v>87</v>
      </c>
      <c r="G69" s="176">
        <v>0</v>
      </c>
      <c r="H69" s="41">
        <v>35000000</v>
      </c>
      <c r="I69" s="41">
        <f t="shared" si="3"/>
        <v>-35000000</v>
      </c>
      <c r="J69" s="55"/>
      <c r="K69" s="200"/>
      <c r="L69" s="98"/>
      <c r="M69" s="62"/>
      <c r="N69" s="97"/>
      <c r="P69" s="60"/>
    </row>
    <row r="70" spans="1:16" s="23" customFormat="1" ht="18" customHeight="1">
      <c r="A70" s="15"/>
      <c r="B70" s="18"/>
      <c r="C70" s="24"/>
      <c r="D70" s="18"/>
      <c r="E70" s="40" t="s">
        <v>404</v>
      </c>
      <c r="F70" s="182" t="s">
        <v>405</v>
      </c>
      <c r="G70" s="176">
        <v>0</v>
      </c>
      <c r="H70" s="41">
        <v>0</v>
      </c>
      <c r="I70" s="41">
        <f t="shared" si="3"/>
        <v>0</v>
      </c>
      <c r="J70" s="55"/>
      <c r="K70" s="200"/>
      <c r="L70" s="98"/>
      <c r="M70" s="62"/>
      <c r="N70" s="97"/>
      <c r="P70" s="60"/>
    </row>
    <row r="71" spans="1:16" s="23" customFormat="1" ht="18" customHeight="1">
      <c r="A71" s="15"/>
      <c r="B71" s="18"/>
      <c r="C71" s="24"/>
      <c r="D71" s="26"/>
      <c r="E71" s="40" t="s">
        <v>404</v>
      </c>
      <c r="F71" s="182" t="s">
        <v>406</v>
      </c>
      <c r="G71" s="176">
        <v>81000000</v>
      </c>
      <c r="H71" s="41">
        <v>0</v>
      </c>
      <c r="I71" s="41">
        <f t="shared" si="3"/>
        <v>81000000</v>
      </c>
      <c r="J71" s="55" t="s">
        <v>713</v>
      </c>
      <c r="K71" s="200"/>
      <c r="L71" s="98"/>
      <c r="M71" s="62"/>
      <c r="N71" s="97"/>
      <c r="P71" s="60"/>
    </row>
    <row r="72" spans="1:16" s="23" customFormat="1" ht="18" customHeight="1">
      <c r="A72" s="15"/>
      <c r="B72" s="18"/>
      <c r="C72" s="24"/>
      <c r="D72" s="262" t="s">
        <v>368</v>
      </c>
      <c r="E72" s="262"/>
      <c r="F72" s="59"/>
      <c r="G72" s="156">
        <f>SUM(G73:G78)</f>
        <v>14762000</v>
      </c>
      <c r="H72" s="21">
        <f>SUM(H73:H78)</f>
        <v>2926000</v>
      </c>
      <c r="I72" s="21">
        <f>SUM(I73:I78)</f>
        <v>11836000</v>
      </c>
      <c r="J72" s="88"/>
      <c r="K72" s="200"/>
      <c r="L72" s="98"/>
      <c r="M72" s="62"/>
      <c r="N72" s="97"/>
      <c r="P72" s="60"/>
    </row>
    <row r="73" spans="1:16" s="23" customFormat="1" ht="18" customHeight="1">
      <c r="A73" s="15"/>
      <c r="B73" s="18"/>
      <c r="C73" s="24"/>
      <c r="D73" s="25"/>
      <c r="E73" s="40" t="s">
        <v>407</v>
      </c>
      <c r="F73" s="182" t="s">
        <v>408</v>
      </c>
      <c r="G73" s="176">
        <v>3645000</v>
      </c>
      <c r="H73" s="41">
        <v>1575000</v>
      </c>
      <c r="I73" s="41">
        <f t="shared" si="3"/>
        <v>2070000</v>
      </c>
      <c r="J73" s="93"/>
      <c r="K73" s="200"/>
      <c r="L73" s="98"/>
      <c r="M73" s="62"/>
      <c r="N73" s="97"/>
      <c r="P73" s="60"/>
    </row>
    <row r="74" spans="1:16" s="23" customFormat="1" ht="18" customHeight="1">
      <c r="A74" s="15"/>
      <c r="B74" s="18"/>
      <c r="C74" s="24"/>
      <c r="D74" s="25"/>
      <c r="E74" s="40" t="s">
        <v>407</v>
      </c>
      <c r="F74" s="182" t="s">
        <v>409</v>
      </c>
      <c r="G74" s="176">
        <v>2426000</v>
      </c>
      <c r="H74" s="41">
        <v>619000</v>
      </c>
      <c r="I74" s="41">
        <f t="shared" si="3"/>
        <v>1807000</v>
      </c>
      <c r="J74" s="93"/>
      <c r="K74" s="200"/>
      <c r="L74" s="98"/>
      <c r="M74" s="62"/>
      <c r="N74" s="97"/>
      <c r="P74" s="60"/>
    </row>
    <row r="75" spans="1:16" s="23" customFormat="1" ht="18" customHeight="1">
      <c r="A75" s="15"/>
      <c r="B75" s="18"/>
      <c r="C75" s="24"/>
      <c r="D75" s="25"/>
      <c r="E75" s="40" t="s">
        <v>407</v>
      </c>
      <c r="F75" s="182" t="s">
        <v>684</v>
      </c>
      <c r="G75" s="176">
        <v>159000</v>
      </c>
      <c r="H75" s="41">
        <v>41000</v>
      </c>
      <c r="I75" s="41">
        <f>G75-H75</f>
        <v>118000</v>
      </c>
      <c r="J75" s="93"/>
      <c r="K75" s="200"/>
      <c r="L75" s="98"/>
      <c r="M75" s="62"/>
      <c r="N75" s="97"/>
      <c r="P75" s="60"/>
    </row>
    <row r="76" spans="1:16" s="23" customFormat="1" ht="18" customHeight="1">
      <c r="A76" s="15"/>
      <c r="B76" s="18"/>
      <c r="C76" s="24"/>
      <c r="D76" s="25"/>
      <c r="E76" s="40" t="s">
        <v>407</v>
      </c>
      <c r="F76" s="182" t="s">
        <v>411</v>
      </c>
      <c r="G76" s="176">
        <v>1215000</v>
      </c>
      <c r="H76" s="41">
        <v>490000</v>
      </c>
      <c r="I76" s="27">
        <f>G76-H76</f>
        <v>725000</v>
      </c>
      <c r="J76" s="93"/>
      <c r="K76" s="200"/>
      <c r="L76" s="98"/>
      <c r="M76" s="62"/>
      <c r="N76" s="97"/>
      <c r="P76" s="60"/>
    </row>
    <row r="77" spans="1:16" s="23" customFormat="1" ht="18" customHeight="1">
      <c r="A77" s="15"/>
      <c r="B77" s="18"/>
      <c r="C77" s="24"/>
      <c r="D77" s="25"/>
      <c r="E77" s="40" t="s">
        <v>407</v>
      </c>
      <c r="F77" s="182" t="s">
        <v>410</v>
      </c>
      <c r="G77" s="176">
        <v>567000</v>
      </c>
      <c r="H77" s="41">
        <v>201000</v>
      </c>
      <c r="I77" s="27">
        <f t="shared" si="3"/>
        <v>366000</v>
      </c>
      <c r="J77" s="93"/>
      <c r="K77" s="200"/>
      <c r="L77" s="98"/>
      <c r="M77" s="62"/>
      <c r="N77" s="97"/>
      <c r="P77" s="60"/>
    </row>
    <row r="78" spans="1:16" s="23" customFormat="1" ht="18" customHeight="1">
      <c r="A78" s="15"/>
      <c r="B78" s="18"/>
      <c r="C78" s="24"/>
      <c r="D78" s="25"/>
      <c r="E78" s="40" t="s">
        <v>407</v>
      </c>
      <c r="F78" s="182" t="s">
        <v>412</v>
      </c>
      <c r="G78" s="176">
        <v>6750000</v>
      </c>
      <c r="H78" s="41">
        <v>0</v>
      </c>
      <c r="I78" s="27">
        <f t="shared" si="3"/>
        <v>6750000</v>
      </c>
      <c r="J78" s="93"/>
      <c r="K78" s="200"/>
      <c r="L78" s="98"/>
      <c r="M78" s="62"/>
      <c r="N78" s="97"/>
      <c r="P78" s="60"/>
    </row>
    <row r="79" spans="1:16" s="23" customFormat="1" ht="18" customHeight="1">
      <c r="A79" s="15"/>
      <c r="B79" s="18"/>
      <c r="C79" s="24"/>
      <c r="D79" s="265" t="s">
        <v>413</v>
      </c>
      <c r="E79" s="262"/>
      <c r="F79" s="203"/>
      <c r="G79" s="180">
        <f>SUM(G80)</f>
        <v>0</v>
      </c>
      <c r="H79" s="46">
        <f>SUM(H80)</f>
        <v>1500000</v>
      </c>
      <c r="I79" s="46">
        <f>SUM(I80)</f>
        <v>-1500000</v>
      </c>
      <c r="J79" s="55"/>
      <c r="K79" s="200"/>
      <c r="L79" s="98"/>
      <c r="M79" s="62"/>
      <c r="N79" s="97"/>
      <c r="P79" s="60"/>
    </row>
    <row r="80" spans="1:16" s="23" customFormat="1" ht="18" customHeight="1">
      <c r="A80" s="15"/>
      <c r="B80" s="18"/>
      <c r="C80" s="35"/>
      <c r="D80" s="20"/>
      <c r="E80" s="28" t="s">
        <v>414</v>
      </c>
      <c r="F80" s="28" t="s">
        <v>415</v>
      </c>
      <c r="G80" s="176">
        <v>0</v>
      </c>
      <c r="H80" s="27">
        <f>300000*5</f>
        <v>1500000</v>
      </c>
      <c r="I80" s="27">
        <f t="shared" si="3"/>
        <v>-1500000</v>
      </c>
      <c r="J80" s="44"/>
      <c r="K80" s="200"/>
      <c r="L80" s="98"/>
      <c r="M80" s="62"/>
      <c r="N80" s="97"/>
      <c r="P80" s="60"/>
    </row>
    <row r="81" spans="1:16" s="23" customFormat="1" ht="18" customHeight="1">
      <c r="A81" s="15"/>
      <c r="B81" s="18"/>
      <c r="C81" s="270" t="s">
        <v>416</v>
      </c>
      <c r="D81" s="271"/>
      <c r="E81" s="249"/>
      <c r="F81" s="154"/>
      <c r="G81" s="178">
        <f>G82</f>
        <v>43020000</v>
      </c>
      <c r="H81" s="36">
        <f>H82</f>
        <v>40380000</v>
      </c>
      <c r="I81" s="36">
        <f>I82</f>
        <v>2640000</v>
      </c>
      <c r="J81" s="87"/>
      <c r="K81" s="200"/>
      <c r="L81" s="98"/>
      <c r="M81" s="62"/>
      <c r="N81" s="97"/>
      <c r="P81" s="60"/>
    </row>
    <row r="82" spans="1:16" s="23" customFormat="1" ht="18" customHeight="1">
      <c r="A82" s="15"/>
      <c r="B82" s="18"/>
      <c r="C82" s="18"/>
      <c r="D82" s="265" t="s">
        <v>417</v>
      </c>
      <c r="E82" s="262"/>
      <c r="F82" s="59"/>
      <c r="G82" s="174">
        <f>SUM(G83:G85)</f>
        <v>43020000</v>
      </c>
      <c r="H82" s="37">
        <f>SUM(H83:H85)</f>
        <v>40380000</v>
      </c>
      <c r="I82" s="37">
        <f>SUM(I83:I85)</f>
        <v>2640000</v>
      </c>
      <c r="J82" s="88"/>
      <c r="K82" s="200"/>
      <c r="L82" s="98"/>
      <c r="M82" s="62"/>
      <c r="N82" s="97"/>
      <c r="P82" s="60"/>
    </row>
    <row r="83" spans="1:16" s="23" customFormat="1" ht="18" customHeight="1">
      <c r="A83" s="15"/>
      <c r="B83" s="18"/>
      <c r="C83" s="18"/>
      <c r="D83" s="18"/>
      <c r="E83" s="20" t="s">
        <v>417</v>
      </c>
      <c r="F83" s="28" t="s">
        <v>418</v>
      </c>
      <c r="G83" s="159">
        <f>30000000+6000000+2040000</f>
        <v>38040000</v>
      </c>
      <c r="H83" s="27">
        <f>30000000+6000000</f>
        <v>36000000</v>
      </c>
      <c r="I83" s="27">
        <f t="shared" ref="I83:I85" si="4">G83-H83</f>
        <v>2040000</v>
      </c>
      <c r="J83" s="89" t="s">
        <v>419</v>
      </c>
      <c r="K83" s="200"/>
      <c r="L83" s="98"/>
      <c r="M83" s="62"/>
      <c r="N83" s="97"/>
      <c r="P83" s="60"/>
    </row>
    <row r="84" spans="1:16" s="23" customFormat="1" ht="18" customHeight="1">
      <c r="A84" s="15"/>
      <c r="B84" s="18"/>
      <c r="C84" s="18"/>
      <c r="D84" s="18"/>
      <c r="E84" s="26" t="s">
        <v>420</v>
      </c>
      <c r="F84" s="26" t="s">
        <v>420</v>
      </c>
      <c r="G84" s="167">
        <f>240000+1080000</f>
        <v>1320000</v>
      </c>
      <c r="H84" s="38">
        <f>240000+1080000</f>
        <v>1320000</v>
      </c>
      <c r="I84" s="27">
        <f t="shared" si="4"/>
        <v>0</v>
      </c>
      <c r="J84" s="149" t="s">
        <v>421</v>
      </c>
      <c r="K84" s="200"/>
      <c r="L84" s="98"/>
      <c r="M84" s="62"/>
      <c r="N84" s="97"/>
      <c r="P84" s="60"/>
    </row>
    <row r="85" spans="1:16" s="23" customFormat="1" ht="18" customHeight="1">
      <c r="A85" s="15"/>
      <c r="B85" s="18"/>
      <c r="C85" s="18"/>
      <c r="D85" s="18"/>
      <c r="E85" s="28" t="s">
        <v>422</v>
      </c>
      <c r="F85" s="28" t="s">
        <v>422</v>
      </c>
      <c r="G85" s="156">
        <f>3060000+600000</f>
        <v>3660000</v>
      </c>
      <c r="H85" s="21">
        <v>3060000</v>
      </c>
      <c r="I85" s="27">
        <f t="shared" si="4"/>
        <v>600000</v>
      </c>
      <c r="J85" s="88" t="s">
        <v>423</v>
      </c>
      <c r="K85" s="200"/>
      <c r="L85" s="98"/>
      <c r="M85" s="62"/>
      <c r="N85" s="97"/>
      <c r="P85" s="60"/>
    </row>
    <row r="86" spans="1:16" s="23" customFormat="1" ht="18" customHeight="1">
      <c r="A86" s="15"/>
      <c r="B86" s="263" t="s">
        <v>424</v>
      </c>
      <c r="C86" s="264"/>
      <c r="D86" s="264"/>
      <c r="E86" s="264"/>
      <c r="F86" s="152"/>
      <c r="G86" s="177">
        <f>G87+G93+G107</f>
        <v>197500000</v>
      </c>
      <c r="H86" s="45">
        <f>H87+H93+H107</f>
        <v>147798000</v>
      </c>
      <c r="I86" s="45">
        <f>I87+I93+I107</f>
        <v>49702000</v>
      </c>
      <c r="J86" s="86"/>
      <c r="K86" s="200"/>
      <c r="L86" s="98"/>
      <c r="M86" s="62"/>
      <c r="N86" s="97"/>
      <c r="P86" s="60"/>
    </row>
    <row r="87" spans="1:16" s="23" customFormat="1" ht="18" customHeight="1">
      <c r="A87" s="15"/>
      <c r="B87" s="18"/>
      <c r="C87" s="248" t="s">
        <v>425</v>
      </c>
      <c r="D87" s="249"/>
      <c r="E87" s="249"/>
      <c r="F87" s="154"/>
      <c r="G87" s="178">
        <f>G88</f>
        <v>34500000</v>
      </c>
      <c r="H87" s="36">
        <f>H88</f>
        <v>34909000</v>
      </c>
      <c r="I87" s="36">
        <f>I88</f>
        <v>-409000</v>
      </c>
      <c r="J87" s="87"/>
      <c r="K87" s="200"/>
      <c r="L87" s="98"/>
      <c r="M87" s="62"/>
      <c r="N87" s="97"/>
      <c r="P87" s="60"/>
    </row>
    <row r="88" spans="1:16" s="23" customFormat="1" ht="18" customHeight="1">
      <c r="A88" s="15"/>
      <c r="B88" s="18"/>
      <c r="C88" s="18"/>
      <c r="D88" s="265" t="s">
        <v>426</v>
      </c>
      <c r="E88" s="262"/>
      <c r="F88" s="203"/>
      <c r="G88" s="180">
        <f>SUM(G89:G92)</f>
        <v>34500000</v>
      </c>
      <c r="H88" s="46">
        <f>SUM(H89:H92)</f>
        <v>34909000</v>
      </c>
      <c r="I88" s="46">
        <f>SUM(I89:I92)</f>
        <v>-409000</v>
      </c>
      <c r="J88" s="55"/>
      <c r="K88" s="200"/>
      <c r="L88" s="98"/>
      <c r="M88" s="62"/>
      <c r="N88" s="97"/>
      <c r="P88" s="60"/>
    </row>
    <row r="89" spans="1:16" s="23" customFormat="1" ht="18" customHeight="1">
      <c r="A89" s="15"/>
      <c r="B89" s="18"/>
      <c r="C89" s="18"/>
      <c r="D89" s="18"/>
      <c r="E89" s="20" t="s">
        <v>427</v>
      </c>
      <c r="F89" s="28" t="s">
        <v>428</v>
      </c>
      <c r="G89" s="156">
        <v>20000000</v>
      </c>
      <c r="H89" s="21">
        <v>20000000</v>
      </c>
      <c r="I89" s="27">
        <f t="shared" ref="I89:I92" si="5">G89-H89</f>
        <v>0</v>
      </c>
      <c r="J89" s="88"/>
      <c r="K89" s="200"/>
      <c r="L89" s="98"/>
      <c r="M89" s="62"/>
      <c r="N89" s="97"/>
      <c r="P89" s="60"/>
    </row>
    <row r="90" spans="1:16" s="23" customFormat="1" ht="18" customHeight="1">
      <c r="A90" s="15"/>
      <c r="B90" s="18"/>
      <c r="C90" s="24"/>
      <c r="D90" s="24"/>
      <c r="E90" s="28" t="s">
        <v>429</v>
      </c>
      <c r="F90" s="28" t="s">
        <v>430</v>
      </c>
      <c r="G90" s="156">
        <v>0</v>
      </c>
      <c r="H90" s="21">
        <v>409000</v>
      </c>
      <c r="I90" s="27">
        <f t="shared" si="5"/>
        <v>-409000</v>
      </c>
      <c r="J90" s="88" t="s">
        <v>431</v>
      </c>
      <c r="K90" s="200"/>
      <c r="L90" s="98"/>
      <c r="M90" s="62"/>
      <c r="N90" s="97"/>
      <c r="P90" s="60"/>
    </row>
    <row r="91" spans="1:16" s="23" customFormat="1" ht="18" customHeight="1">
      <c r="A91" s="15"/>
      <c r="B91" s="18"/>
      <c r="C91" s="24"/>
      <c r="D91" s="24"/>
      <c r="E91" s="28" t="s">
        <v>427</v>
      </c>
      <c r="F91" s="28" t="s">
        <v>432</v>
      </c>
      <c r="G91" s="156">
        <v>1500000</v>
      </c>
      <c r="H91" s="21">
        <v>1500000</v>
      </c>
      <c r="I91" s="27">
        <f t="shared" si="5"/>
        <v>0</v>
      </c>
      <c r="J91" s="88"/>
      <c r="K91" s="200"/>
      <c r="L91" s="98"/>
      <c r="M91" s="62"/>
      <c r="N91" s="97"/>
      <c r="P91" s="60"/>
    </row>
    <row r="92" spans="1:16" s="23" customFormat="1" ht="18" customHeight="1">
      <c r="A92" s="15"/>
      <c r="B92" s="18"/>
      <c r="C92" s="35"/>
      <c r="D92" s="35"/>
      <c r="E92" s="28" t="s">
        <v>433</v>
      </c>
      <c r="F92" s="28" t="s">
        <v>434</v>
      </c>
      <c r="G92" s="156">
        <v>13000000</v>
      </c>
      <c r="H92" s="21">
        <v>13000000</v>
      </c>
      <c r="I92" s="27">
        <f t="shared" si="5"/>
        <v>0</v>
      </c>
      <c r="J92" s="88"/>
      <c r="K92" s="200"/>
      <c r="L92" s="98"/>
      <c r="M92" s="62"/>
      <c r="N92" s="97"/>
      <c r="P92" s="60"/>
    </row>
    <row r="93" spans="1:16" s="23" customFormat="1" ht="18" customHeight="1">
      <c r="A93" s="15"/>
      <c r="B93" s="18"/>
      <c r="C93" s="277" t="s">
        <v>435</v>
      </c>
      <c r="D93" s="277"/>
      <c r="E93" s="248"/>
      <c r="F93" s="154"/>
      <c r="G93" s="178">
        <f>G94</f>
        <v>122000000</v>
      </c>
      <c r="H93" s="36">
        <f>H94</f>
        <v>72000000</v>
      </c>
      <c r="I93" s="36">
        <f>I94</f>
        <v>50000000</v>
      </c>
      <c r="J93" s="87"/>
      <c r="K93" s="200"/>
      <c r="L93" s="98"/>
      <c r="M93" s="62"/>
      <c r="N93" s="97"/>
      <c r="P93" s="60"/>
    </row>
    <row r="94" spans="1:16" s="23" customFormat="1" ht="18" customHeight="1">
      <c r="A94" s="15"/>
      <c r="B94" s="18"/>
      <c r="C94" s="19"/>
      <c r="D94" s="265" t="s">
        <v>426</v>
      </c>
      <c r="E94" s="262"/>
      <c r="F94" s="203"/>
      <c r="G94" s="180">
        <f>SUM(G95:G106)</f>
        <v>122000000</v>
      </c>
      <c r="H94" s="46">
        <f>SUM(H95:H106)</f>
        <v>72000000</v>
      </c>
      <c r="I94" s="46">
        <f>SUM(I95:I106)</f>
        <v>50000000</v>
      </c>
      <c r="J94" s="55"/>
      <c r="K94" s="200"/>
      <c r="L94" s="98"/>
      <c r="M94" s="62"/>
      <c r="N94" s="97"/>
      <c r="P94" s="60"/>
    </row>
    <row r="95" spans="1:16" s="23" customFormat="1" ht="18" customHeight="1">
      <c r="A95" s="15"/>
      <c r="B95" s="18"/>
      <c r="C95" s="24"/>
      <c r="D95" s="19"/>
      <c r="E95" s="20" t="s">
        <v>427</v>
      </c>
      <c r="F95" s="28" t="s">
        <v>436</v>
      </c>
      <c r="G95" s="159">
        <f>200000*9</f>
        <v>1800000</v>
      </c>
      <c r="H95" s="27">
        <v>2000000</v>
      </c>
      <c r="I95" s="22">
        <f>G95-H95</f>
        <v>-200000</v>
      </c>
      <c r="J95" s="44"/>
      <c r="K95" s="200"/>
      <c r="L95" s="98"/>
      <c r="M95" s="62"/>
      <c r="N95" s="97"/>
      <c r="P95" s="60"/>
    </row>
    <row r="96" spans="1:16" s="23" customFormat="1" ht="18" customHeight="1">
      <c r="A96" s="15"/>
      <c r="B96" s="18"/>
      <c r="C96" s="24"/>
      <c r="D96" s="24"/>
      <c r="E96" s="20" t="s">
        <v>427</v>
      </c>
      <c r="F96" s="28" t="s">
        <v>437</v>
      </c>
      <c r="G96" s="156">
        <f>200000*6</f>
        <v>1200000</v>
      </c>
      <c r="H96" s="27">
        <v>1200000</v>
      </c>
      <c r="I96" s="22">
        <f t="shared" ref="I96:I106" si="6">G96-H96</f>
        <v>0</v>
      </c>
      <c r="J96" s="44"/>
      <c r="K96" s="200"/>
      <c r="L96" s="98"/>
      <c r="M96" s="62"/>
      <c r="N96" s="97"/>
      <c r="P96" s="60"/>
    </row>
    <row r="97" spans="1:16" s="23" customFormat="1" ht="18" customHeight="1">
      <c r="A97" s="15"/>
      <c r="B97" s="18"/>
      <c r="C97" s="24"/>
      <c r="D97" s="24"/>
      <c r="E97" s="20" t="s">
        <v>427</v>
      </c>
      <c r="F97" s="28" t="s">
        <v>438</v>
      </c>
      <c r="G97" s="156">
        <f>200000*4</f>
        <v>800000</v>
      </c>
      <c r="H97" s="27">
        <v>800000</v>
      </c>
      <c r="I97" s="22">
        <f t="shared" si="6"/>
        <v>0</v>
      </c>
      <c r="J97" s="44"/>
      <c r="K97" s="200"/>
      <c r="L97" s="98"/>
      <c r="M97" s="62"/>
      <c r="N97" s="97"/>
      <c r="P97" s="60"/>
    </row>
    <row r="98" spans="1:16" s="23" customFormat="1" ht="18" customHeight="1">
      <c r="A98" s="15"/>
      <c r="B98" s="18"/>
      <c r="C98" s="24"/>
      <c r="D98" s="24"/>
      <c r="E98" s="20" t="s">
        <v>427</v>
      </c>
      <c r="F98" s="28" t="s">
        <v>439</v>
      </c>
      <c r="G98" s="159">
        <f>200000*13</f>
        <v>2600000</v>
      </c>
      <c r="H98" s="27">
        <v>2600000</v>
      </c>
      <c r="I98" s="22">
        <f t="shared" si="6"/>
        <v>0</v>
      </c>
      <c r="J98" s="44"/>
      <c r="K98" s="200"/>
      <c r="L98" s="98"/>
      <c r="M98" s="62"/>
      <c r="N98" s="97"/>
      <c r="P98" s="60"/>
    </row>
    <row r="99" spans="1:16" s="23" customFormat="1" ht="18" customHeight="1">
      <c r="A99" s="15"/>
      <c r="B99" s="18"/>
      <c r="C99" s="24"/>
      <c r="D99" s="24"/>
      <c r="E99" s="20" t="s">
        <v>427</v>
      </c>
      <c r="F99" s="28" t="s">
        <v>440</v>
      </c>
      <c r="G99" s="159">
        <f>200000*4</f>
        <v>800000</v>
      </c>
      <c r="H99" s="27">
        <v>1000000</v>
      </c>
      <c r="I99" s="22">
        <f t="shared" si="6"/>
        <v>-200000</v>
      </c>
      <c r="J99" s="44"/>
      <c r="K99" s="200"/>
      <c r="L99" s="98"/>
      <c r="M99" s="62"/>
      <c r="N99" s="97"/>
      <c r="P99" s="60"/>
    </row>
    <row r="100" spans="1:16" s="23" customFormat="1" ht="18" customHeight="1">
      <c r="A100" s="15"/>
      <c r="B100" s="18"/>
      <c r="C100" s="24"/>
      <c r="D100" s="24"/>
      <c r="E100" s="20" t="s">
        <v>441</v>
      </c>
      <c r="F100" s="28" t="s">
        <v>442</v>
      </c>
      <c r="G100" s="159">
        <f>200000*8</f>
        <v>1600000</v>
      </c>
      <c r="H100" s="27">
        <v>1400000</v>
      </c>
      <c r="I100" s="22">
        <f t="shared" si="6"/>
        <v>200000</v>
      </c>
      <c r="J100" s="44"/>
      <c r="K100" s="200"/>
      <c r="L100" s="98"/>
      <c r="M100" s="62"/>
      <c r="N100" s="97"/>
      <c r="P100" s="60"/>
    </row>
    <row r="101" spans="1:16" s="23" customFormat="1" ht="18" customHeight="1">
      <c r="A101" s="15"/>
      <c r="B101" s="18"/>
      <c r="C101" s="24"/>
      <c r="D101" s="24"/>
      <c r="E101" s="20" t="s">
        <v>441</v>
      </c>
      <c r="F101" s="28" t="s">
        <v>443</v>
      </c>
      <c r="G101" s="159">
        <f>200000*7</f>
        <v>1400000</v>
      </c>
      <c r="H101" s="47">
        <v>1400000</v>
      </c>
      <c r="I101" s="22">
        <f t="shared" si="6"/>
        <v>0</v>
      </c>
      <c r="J101" s="44"/>
      <c r="K101" s="200"/>
      <c r="L101" s="98"/>
      <c r="M101" s="62"/>
      <c r="N101" s="97"/>
      <c r="P101" s="60"/>
    </row>
    <row r="102" spans="1:16" s="23" customFormat="1" ht="18" customHeight="1">
      <c r="A102" s="15"/>
      <c r="B102" s="18"/>
      <c r="C102" s="24"/>
      <c r="D102" s="24"/>
      <c r="E102" s="20" t="s">
        <v>441</v>
      </c>
      <c r="F102" s="28" t="s">
        <v>444</v>
      </c>
      <c r="G102" s="159">
        <f>200000*7</f>
        <v>1400000</v>
      </c>
      <c r="H102" s="47">
        <v>1400000</v>
      </c>
      <c r="I102" s="22">
        <f t="shared" si="6"/>
        <v>0</v>
      </c>
      <c r="J102" s="44"/>
      <c r="K102" s="200"/>
      <c r="L102" s="98"/>
      <c r="M102" s="62"/>
      <c r="N102" s="97"/>
      <c r="P102" s="60"/>
    </row>
    <row r="103" spans="1:16" s="23" customFormat="1" ht="18" customHeight="1">
      <c r="A103" s="15"/>
      <c r="B103" s="18"/>
      <c r="C103" s="24"/>
      <c r="D103" s="24"/>
      <c r="E103" s="20" t="s">
        <v>441</v>
      </c>
      <c r="F103" s="28" t="s">
        <v>445</v>
      </c>
      <c r="G103" s="156">
        <f>200000*13</f>
        <v>2600000</v>
      </c>
      <c r="H103" s="47">
        <v>2400000</v>
      </c>
      <c r="I103" s="22">
        <f t="shared" si="6"/>
        <v>200000</v>
      </c>
      <c r="J103" s="44"/>
      <c r="K103" s="200"/>
      <c r="L103" s="98"/>
      <c r="M103" s="62"/>
      <c r="N103" s="97"/>
      <c r="P103" s="60"/>
    </row>
    <row r="104" spans="1:16" s="23" customFormat="1" ht="18" customHeight="1">
      <c r="A104" s="13"/>
      <c r="B104" s="25"/>
      <c r="C104" s="18"/>
      <c r="D104" s="24"/>
      <c r="E104" s="20" t="s">
        <v>441</v>
      </c>
      <c r="F104" s="16" t="s">
        <v>446</v>
      </c>
      <c r="G104" s="156">
        <v>10000000</v>
      </c>
      <c r="H104" s="21">
        <v>10000000</v>
      </c>
      <c r="I104" s="22">
        <f t="shared" si="6"/>
        <v>0</v>
      </c>
      <c r="J104" s="88"/>
      <c r="K104" s="200"/>
      <c r="L104" s="98"/>
      <c r="M104" s="62"/>
      <c r="N104" s="97"/>
      <c r="P104" s="60"/>
    </row>
    <row r="105" spans="1:16" s="23" customFormat="1" ht="18" customHeight="1">
      <c r="A105" s="15"/>
      <c r="B105" s="18"/>
      <c r="C105" s="24"/>
      <c r="D105" s="24"/>
      <c r="E105" s="20" t="s">
        <v>441</v>
      </c>
      <c r="F105" s="28" t="s">
        <v>447</v>
      </c>
      <c r="G105" s="176">
        <f>25000000+(400000*7)</f>
        <v>27800000</v>
      </c>
      <c r="H105" s="41">
        <f>25000000+(400000*7)</f>
        <v>27800000</v>
      </c>
      <c r="I105" s="22">
        <f t="shared" si="6"/>
        <v>0</v>
      </c>
      <c r="J105" s="55"/>
      <c r="K105" s="200"/>
      <c r="L105" s="98"/>
      <c r="M105" s="62"/>
      <c r="N105" s="97"/>
      <c r="P105" s="60"/>
    </row>
    <row r="106" spans="1:16" s="23" customFormat="1" ht="18" customHeight="1">
      <c r="A106" s="15"/>
      <c r="B106" s="18"/>
      <c r="C106" s="35"/>
      <c r="D106" s="35"/>
      <c r="E106" s="20" t="s">
        <v>441</v>
      </c>
      <c r="F106" s="28" t="s">
        <v>448</v>
      </c>
      <c r="G106" s="176">
        <v>70000000</v>
      </c>
      <c r="H106" s="41">
        <v>20000000</v>
      </c>
      <c r="I106" s="22">
        <f t="shared" si="6"/>
        <v>50000000</v>
      </c>
      <c r="J106" s="55"/>
      <c r="K106" s="200"/>
      <c r="L106" s="98"/>
      <c r="M106" s="62"/>
      <c r="N106" s="97"/>
      <c r="P106" s="60"/>
    </row>
    <row r="107" spans="1:16" s="23" customFormat="1" ht="18" customHeight="1">
      <c r="A107" s="15"/>
      <c r="B107" s="18"/>
      <c r="C107" s="277" t="s">
        <v>449</v>
      </c>
      <c r="D107" s="277"/>
      <c r="E107" s="248"/>
      <c r="F107" s="154"/>
      <c r="G107" s="155">
        <f>G108</f>
        <v>41000000</v>
      </c>
      <c r="H107" s="17">
        <f>H108</f>
        <v>40889000</v>
      </c>
      <c r="I107" s="17">
        <f>I108</f>
        <v>111000</v>
      </c>
      <c r="J107" s="87"/>
      <c r="K107" s="200"/>
      <c r="L107" s="98"/>
      <c r="M107" s="62"/>
      <c r="N107" s="97"/>
      <c r="P107" s="60"/>
    </row>
    <row r="108" spans="1:16" s="23" customFormat="1" ht="18" customHeight="1">
      <c r="A108" s="15"/>
      <c r="B108" s="18"/>
      <c r="C108" s="19"/>
      <c r="D108" s="265" t="s">
        <v>426</v>
      </c>
      <c r="E108" s="262"/>
      <c r="F108" s="203"/>
      <c r="G108" s="180">
        <f>SUM(G109)</f>
        <v>41000000</v>
      </c>
      <c r="H108" s="46">
        <f>SUM(H109)</f>
        <v>40889000</v>
      </c>
      <c r="I108" s="46">
        <f>SUM(I109)</f>
        <v>111000</v>
      </c>
      <c r="J108" s="55"/>
      <c r="K108" s="200"/>
      <c r="L108" s="98"/>
      <c r="M108" s="62"/>
      <c r="N108" s="97"/>
      <c r="P108" s="60"/>
    </row>
    <row r="109" spans="1:16" s="23" customFormat="1" ht="18" customHeight="1">
      <c r="A109" s="15"/>
      <c r="B109" s="18"/>
      <c r="C109" s="35"/>
      <c r="D109" s="20"/>
      <c r="E109" s="28" t="s">
        <v>450</v>
      </c>
      <c r="F109" s="28" t="s">
        <v>451</v>
      </c>
      <c r="G109" s="176">
        <v>41000000</v>
      </c>
      <c r="H109" s="27">
        <f>40730000+159000</f>
        <v>40889000</v>
      </c>
      <c r="I109" s="22">
        <f t="shared" ref="I109" si="7">G109-H109</f>
        <v>111000</v>
      </c>
      <c r="J109" s="44"/>
      <c r="K109" s="200"/>
      <c r="L109" s="98"/>
      <c r="M109" s="62"/>
      <c r="N109" s="97"/>
      <c r="P109" s="60"/>
    </row>
    <row r="110" spans="1:16" s="23" customFormat="1" ht="18" customHeight="1">
      <c r="A110" s="274" t="s">
        <v>452</v>
      </c>
      <c r="B110" s="275"/>
      <c r="C110" s="275"/>
      <c r="D110" s="275"/>
      <c r="E110" s="275"/>
      <c r="F110" s="183"/>
      <c r="G110" s="184">
        <f>G111+G115+G166+G183+G201+G206</f>
        <v>7331713000</v>
      </c>
      <c r="H110" s="48">
        <f>H111+H115+H166+H183+H201+H206</f>
        <v>7645011000</v>
      </c>
      <c r="I110" s="48">
        <f>I111+I115+I166+I183+I201+I206</f>
        <v>-313298000</v>
      </c>
      <c r="J110" s="90"/>
      <c r="K110" s="200"/>
      <c r="L110" s="98"/>
      <c r="M110" s="62"/>
      <c r="N110" s="97"/>
      <c r="P110" s="60"/>
    </row>
    <row r="111" spans="1:16" s="23" customFormat="1" ht="18" customHeight="1">
      <c r="A111" s="13"/>
      <c r="B111" s="263" t="s">
        <v>453</v>
      </c>
      <c r="C111" s="264"/>
      <c r="D111" s="264"/>
      <c r="E111" s="264"/>
      <c r="F111" s="152"/>
      <c r="G111" s="177">
        <f>G112</f>
        <v>4032080000</v>
      </c>
      <c r="H111" s="45">
        <f t="shared" ref="G111:I112" si="8">H112</f>
        <v>3586368000</v>
      </c>
      <c r="I111" s="45">
        <f t="shared" si="8"/>
        <v>445712000</v>
      </c>
      <c r="J111" s="86"/>
      <c r="K111" s="200"/>
      <c r="L111" s="98"/>
      <c r="M111" s="62"/>
      <c r="N111" s="97"/>
      <c r="P111" s="60"/>
    </row>
    <row r="112" spans="1:16" s="23" customFormat="1" ht="18" customHeight="1">
      <c r="A112" s="13"/>
      <c r="B112" s="25"/>
      <c r="C112" s="248" t="s">
        <v>454</v>
      </c>
      <c r="D112" s="249"/>
      <c r="E112" s="249"/>
      <c r="F112" s="154"/>
      <c r="G112" s="178">
        <f t="shared" si="8"/>
        <v>4032080000</v>
      </c>
      <c r="H112" s="36">
        <f t="shared" si="8"/>
        <v>3586368000</v>
      </c>
      <c r="I112" s="36">
        <f t="shared" si="8"/>
        <v>445712000</v>
      </c>
      <c r="J112" s="87"/>
      <c r="K112" s="200"/>
      <c r="L112" s="98"/>
      <c r="M112" s="62"/>
      <c r="N112" s="97"/>
      <c r="P112" s="60"/>
    </row>
    <row r="113" spans="1:16" s="23" customFormat="1" ht="18" customHeight="1">
      <c r="A113" s="13"/>
      <c r="B113" s="25"/>
      <c r="C113" s="18"/>
      <c r="D113" s="266" t="s">
        <v>426</v>
      </c>
      <c r="E113" s="267"/>
      <c r="F113" s="59"/>
      <c r="G113" s="202">
        <f>SUM(G114)</f>
        <v>4032080000</v>
      </c>
      <c r="H113" s="42">
        <f>SUM(H114)</f>
        <v>3586368000</v>
      </c>
      <c r="I113" s="42">
        <f>SUM(I114)</f>
        <v>445712000</v>
      </c>
      <c r="J113" s="149"/>
      <c r="K113" s="200"/>
      <c r="L113" s="98"/>
      <c r="M113" s="62"/>
      <c r="N113" s="97"/>
      <c r="P113" s="60"/>
    </row>
    <row r="114" spans="1:16" s="23" customFormat="1" ht="18" customHeight="1">
      <c r="A114" s="13"/>
      <c r="B114" s="25"/>
      <c r="C114" s="18"/>
      <c r="D114" s="19"/>
      <c r="E114" s="23" t="s">
        <v>455</v>
      </c>
      <c r="F114" s="16" t="s">
        <v>456</v>
      </c>
      <c r="G114" s="157">
        <v>4032080000</v>
      </c>
      <c r="H114" s="39">
        <v>3586368000</v>
      </c>
      <c r="I114" s="22">
        <f>G114-H114</f>
        <v>445712000</v>
      </c>
      <c r="J114" s="148"/>
      <c r="K114" s="200"/>
      <c r="L114" s="115"/>
      <c r="M114" s="62"/>
      <c r="N114" s="97"/>
      <c r="P114" s="60"/>
    </row>
    <row r="115" spans="1:16" s="23" customFormat="1" ht="18" customHeight="1">
      <c r="A115" s="13"/>
      <c r="B115" s="263" t="s">
        <v>457</v>
      </c>
      <c r="C115" s="264"/>
      <c r="D115" s="264"/>
      <c r="E115" s="264"/>
      <c r="F115" s="152"/>
      <c r="G115" s="177">
        <f>G116</f>
        <v>3050653000</v>
      </c>
      <c r="H115" s="45">
        <f>H116</f>
        <v>2897107000</v>
      </c>
      <c r="I115" s="45">
        <f>I116</f>
        <v>153546000</v>
      </c>
      <c r="J115" s="86"/>
      <c r="K115" s="200"/>
      <c r="L115" s="133"/>
      <c r="M115" s="62"/>
      <c r="N115" s="97"/>
      <c r="P115" s="60"/>
    </row>
    <row r="116" spans="1:16" s="23" customFormat="1" ht="18" customHeight="1">
      <c r="A116" s="13"/>
      <c r="B116" s="25"/>
      <c r="C116" s="248" t="s">
        <v>458</v>
      </c>
      <c r="D116" s="249"/>
      <c r="E116" s="249"/>
      <c r="F116" s="154"/>
      <c r="G116" s="178">
        <f>G117+G119+G126+G129+G161</f>
        <v>3050653000</v>
      </c>
      <c r="H116" s="36">
        <f>H117+H119+H126+H129+H161</f>
        <v>2897107000</v>
      </c>
      <c r="I116" s="36">
        <f>I117+I119+I126+I129+I161</f>
        <v>153546000</v>
      </c>
      <c r="J116" s="87"/>
      <c r="K116" s="200"/>
      <c r="L116" s="98"/>
      <c r="M116" s="62"/>
      <c r="N116" s="97"/>
      <c r="P116" s="60"/>
    </row>
    <row r="117" spans="1:16" s="23" customFormat="1" ht="18" customHeight="1">
      <c r="A117" s="13"/>
      <c r="B117" s="25"/>
      <c r="C117" s="18"/>
      <c r="D117" s="265" t="s">
        <v>459</v>
      </c>
      <c r="E117" s="262"/>
      <c r="F117" s="59"/>
      <c r="G117" s="202">
        <f>SUM(G118)</f>
        <v>552000000</v>
      </c>
      <c r="H117" s="42">
        <f>SUM(H118)</f>
        <v>494748000</v>
      </c>
      <c r="I117" s="42">
        <f>SUM(I118)</f>
        <v>57252000</v>
      </c>
      <c r="J117" s="149"/>
      <c r="K117" s="200"/>
      <c r="L117" s="115"/>
      <c r="M117" s="62"/>
      <c r="N117" s="97"/>
      <c r="P117" s="60"/>
    </row>
    <row r="118" spans="1:16" s="23" customFormat="1" ht="18" customHeight="1">
      <c r="A118" s="13"/>
      <c r="B118" s="25"/>
      <c r="C118" s="18"/>
      <c r="D118" s="20"/>
      <c r="E118" s="20" t="s">
        <v>460</v>
      </c>
      <c r="F118" s="146" t="s">
        <v>85</v>
      </c>
      <c r="G118" s="176">
        <v>552000000</v>
      </c>
      <c r="H118" s="41">
        <v>494748000</v>
      </c>
      <c r="I118" s="22">
        <f>G118-H118</f>
        <v>57252000</v>
      </c>
      <c r="J118" s="55"/>
      <c r="K118" s="200"/>
      <c r="L118" s="115"/>
      <c r="M118" s="62"/>
      <c r="N118" s="97"/>
      <c r="P118" s="60"/>
    </row>
    <row r="119" spans="1:16" s="23" customFormat="1" ht="18" customHeight="1">
      <c r="A119" s="13"/>
      <c r="B119" s="25"/>
      <c r="C119" s="18"/>
      <c r="D119" s="266" t="s">
        <v>390</v>
      </c>
      <c r="E119" s="262"/>
      <c r="F119" s="145"/>
      <c r="G119" s="174">
        <f>SUM(G120:G125)</f>
        <v>100599000</v>
      </c>
      <c r="H119" s="37">
        <f>SUM(H120:H125)</f>
        <v>82576000</v>
      </c>
      <c r="I119" s="37">
        <f>SUM(I120:I125)</f>
        <v>18023000</v>
      </c>
      <c r="J119" s="88"/>
      <c r="K119" s="200"/>
      <c r="L119" s="115"/>
      <c r="M119" s="62"/>
      <c r="N119" s="97"/>
      <c r="P119" s="60"/>
    </row>
    <row r="120" spans="1:16" s="23" customFormat="1" ht="18" customHeight="1">
      <c r="A120" s="13"/>
      <c r="B120" s="25"/>
      <c r="C120" s="18"/>
      <c r="D120" s="18"/>
      <c r="E120" s="40" t="s">
        <v>461</v>
      </c>
      <c r="F120" s="211" t="s">
        <v>462</v>
      </c>
      <c r="G120" s="176">
        <v>24840000</v>
      </c>
      <c r="H120" s="41">
        <v>22264000</v>
      </c>
      <c r="I120" s="22">
        <f>G120-H120</f>
        <v>2576000</v>
      </c>
      <c r="J120" s="93"/>
      <c r="K120" s="200"/>
      <c r="L120" s="115"/>
      <c r="M120" s="62"/>
      <c r="N120" s="97"/>
      <c r="P120" s="60"/>
    </row>
    <row r="121" spans="1:16" s="23" customFormat="1" ht="18" customHeight="1">
      <c r="A121" s="13"/>
      <c r="B121" s="25"/>
      <c r="C121" s="18"/>
      <c r="D121" s="18"/>
      <c r="E121" s="40" t="s">
        <v>461</v>
      </c>
      <c r="F121" s="211" t="s">
        <v>463</v>
      </c>
      <c r="G121" s="176">
        <v>16532000</v>
      </c>
      <c r="H121" s="41">
        <v>8743000</v>
      </c>
      <c r="I121" s="22">
        <f>G121-H121</f>
        <v>7789000</v>
      </c>
      <c r="J121" s="93"/>
      <c r="K121" s="200"/>
      <c r="L121" s="115"/>
      <c r="M121" s="62"/>
      <c r="N121" s="97"/>
      <c r="P121" s="60"/>
    </row>
    <row r="122" spans="1:16" s="23" customFormat="1" ht="18" customHeight="1">
      <c r="A122" s="13"/>
      <c r="B122" s="25"/>
      <c r="C122" s="18"/>
      <c r="D122" s="18"/>
      <c r="E122" s="40" t="s">
        <v>461</v>
      </c>
      <c r="F122" s="211" t="s">
        <v>694</v>
      </c>
      <c r="G122" s="176">
        <v>1083000</v>
      </c>
      <c r="H122" s="41">
        <v>573000</v>
      </c>
      <c r="I122" s="22">
        <f>G122-H122</f>
        <v>510000</v>
      </c>
      <c r="J122" s="93"/>
      <c r="K122" s="200"/>
      <c r="L122" s="115"/>
      <c r="M122" s="62"/>
      <c r="N122" s="97"/>
      <c r="P122" s="60"/>
    </row>
    <row r="123" spans="1:16" s="23" customFormat="1" ht="18" customHeight="1">
      <c r="A123" s="13"/>
      <c r="B123" s="25"/>
      <c r="C123" s="18"/>
      <c r="D123" s="18"/>
      <c r="E123" s="40" t="s">
        <v>461</v>
      </c>
      <c r="F123" s="211" t="s">
        <v>465</v>
      </c>
      <c r="G123" s="176">
        <v>8280000</v>
      </c>
      <c r="H123" s="41">
        <v>6927000</v>
      </c>
      <c r="I123" s="22">
        <f>G123-H123</f>
        <v>1353000</v>
      </c>
      <c r="J123" s="93"/>
      <c r="K123" s="200"/>
      <c r="L123" s="115"/>
      <c r="M123" s="62"/>
      <c r="N123" s="97"/>
      <c r="P123" s="60"/>
    </row>
    <row r="124" spans="1:16" s="23" customFormat="1" ht="18" customHeight="1">
      <c r="A124" s="13"/>
      <c r="B124" s="25"/>
      <c r="C124" s="18"/>
      <c r="D124" s="18"/>
      <c r="E124" s="40" t="s">
        <v>461</v>
      </c>
      <c r="F124" s="211" t="s">
        <v>464</v>
      </c>
      <c r="G124" s="176">
        <v>3864000</v>
      </c>
      <c r="H124" s="41">
        <v>2840000</v>
      </c>
      <c r="I124" s="22">
        <f t="shared" ref="I124:I165" si="9">G124-H124</f>
        <v>1024000</v>
      </c>
      <c r="J124" s="93"/>
      <c r="K124" s="200"/>
      <c r="L124" s="137"/>
      <c r="M124" s="62"/>
      <c r="N124" s="97"/>
      <c r="P124" s="60"/>
    </row>
    <row r="125" spans="1:16" s="23" customFormat="1" ht="18" customHeight="1">
      <c r="A125" s="13"/>
      <c r="B125" s="25"/>
      <c r="C125" s="18"/>
      <c r="D125" s="18"/>
      <c r="E125" s="40" t="s">
        <v>461</v>
      </c>
      <c r="F125" s="211" t="s">
        <v>466</v>
      </c>
      <c r="G125" s="176">
        <v>46000000</v>
      </c>
      <c r="H125" s="41">
        <v>41229000</v>
      </c>
      <c r="I125" s="22">
        <f t="shared" si="9"/>
        <v>4771000</v>
      </c>
      <c r="J125" s="93"/>
      <c r="K125" s="200"/>
      <c r="L125" s="115"/>
      <c r="M125" s="62"/>
      <c r="N125" s="97"/>
      <c r="P125" s="60"/>
    </row>
    <row r="126" spans="1:16" s="23" customFormat="1" ht="18" customHeight="1">
      <c r="A126" s="15"/>
      <c r="B126" s="18"/>
      <c r="C126" s="24"/>
      <c r="D126" s="265" t="s">
        <v>426</v>
      </c>
      <c r="E126" s="262"/>
      <c r="F126" s="203"/>
      <c r="G126" s="180">
        <f>SUM(G127:G128)</f>
        <v>11250000</v>
      </c>
      <c r="H126" s="46">
        <f>SUM(H127:H128)</f>
        <v>7700000</v>
      </c>
      <c r="I126" s="46">
        <f>SUM(I127:I128)</f>
        <v>3550000</v>
      </c>
      <c r="J126" s="55"/>
      <c r="K126" s="200"/>
      <c r="L126" s="98"/>
      <c r="M126" s="62"/>
      <c r="N126" s="97"/>
      <c r="P126" s="60"/>
    </row>
    <row r="127" spans="1:16" s="23" customFormat="1" ht="18" customHeight="1">
      <c r="A127" s="15"/>
      <c r="B127" s="18"/>
      <c r="C127" s="24"/>
      <c r="D127" s="20"/>
      <c r="E127" s="28" t="s">
        <v>450</v>
      </c>
      <c r="F127" s="28" t="s">
        <v>451</v>
      </c>
      <c r="G127" s="176">
        <v>5250000</v>
      </c>
      <c r="H127" s="27">
        <f>300000*11</f>
        <v>3300000</v>
      </c>
      <c r="I127" s="22">
        <f t="shared" si="9"/>
        <v>1950000</v>
      </c>
      <c r="J127" s="44"/>
      <c r="K127" s="200"/>
      <c r="L127" s="98"/>
      <c r="M127" s="62"/>
      <c r="N127" s="97"/>
    </row>
    <row r="128" spans="1:16" s="23" customFormat="1" ht="18" customHeight="1">
      <c r="A128" s="15"/>
      <c r="B128" s="24"/>
      <c r="C128" s="18"/>
      <c r="D128" s="28"/>
      <c r="E128" s="20" t="s">
        <v>427</v>
      </c>
      <c r="F128" s="28" t="s">
        <v>467</v>
      </c>
      <c r="G128" s="159">
        <v>6000000</v>
      </c>
      <c r="H128" s="27">
        <f>11*400000</f>
        <v>4400000</v>
      </c>
      <c r="I128" s="22">
        <f t="shared" si="9"/>
        <v>1600000</v>
      </c>
      <c r="J128" s="44"/>
      <c r="K128" s="200"/>
      <c r="L128" s="98"/>
      <c r="M128" s="62"/>
      <c r="N128" s="97"/>
    </row>
    <row r="129" spans="1:14" s="23" customFormat="1" ht="18" customHeight="1">
      <c r="A129" s="13"/>
      <c r="B129" s="25"/>
      <c r="C129" s="18"/>
      <c r="D129" s="265" t="s">
        <v>426</v>
      </c>
      <c r="E129" s="262"/>
      <c r="F129" s="59"/>
      <c r="G129" s="156">
        <f>SUM(G130:G160)</f>
        <v>2272004000</v>
      </c>
      <c r="H129" s="21">
        <f>SUM(H130:H160)</f>
        <v>2182783000</v>
      </c>
      <c r="I129" s="21">
        <f>SUM(I130:I160)</f>
        <v>89221000</v>
      </c>
      <c r="J129" s="88"/>
      <c r="K129" s="200"/>
      <c r="L129" s="98"/>
      <c r="M129" s="62"/>
      <c r="N129" s="97"/>
    </row>
    <row r="130" spans="1:14" s="23" customFormat="1" ht="18" customHeight="1">
      <c r="A130" s="13"/>
      <c r="B130" s="25"/>
      <c r="C130" s="18"/>
      <c r="D130" s="16"/>
      <c r="E130" s="20" t="s">
        <v>468</v>
      </c>
      <c r="F130" s="28" t="s">
        <v>469</v>
      </c>
      <c r="G130" s="156">
        <f>14000000</f>
        <v>14000000</v>
      </c>
      <c r="H130" s="27">
        <v>14000000</v>
      </c>
      <c r="I130" s="22">
        <f t="shared" si="9"/>
        <v>0</v>
      </c>
      <c r="J130" s="44"/>
      <c r="K130" s="200"/>
      <c r="L130" s="98"/>
      <c r="M130" s="62"/>
      <c r="N130" s="97"/>
    </row>
    <row r="131" spans="1:14" s="23" customFormat="1" ht="18" customHeight="1">
      <c r="A131" s="13"/>
      <c r="B131" s="25"/>
      <c r="C131" s="18"/>
      <c r="D131" s="18"/>
      <c r="E131" s="20" t="s">
        <v>468</v>
      </c>
      <c r="F131" s="28" t="s">
        <v>470</v>
      </c>
      <c r="G131" s="156">
        <f>75000000</f>
        <v>75000000</v>
      </c>
      <c r="H131" s="27">
        <v>75000000</v>
      </c>
      <c r="I131" s="22">
        <f>G131-H131</f>
        <v>0</v>
      </c>
      <c r="J131" s="44"/>
      <c r="K131" s="200"/>
      <c r="L131" s="98"/>
      <c r="M131" s="62"/>
      <c r="N131" s="97"/>
    </row>
    <row r="132" spans="1:14" s="23" customFormat="1" ht="18" customHeight="1">
      <c r="A132" s="13"/>
      <c r="B132" s="25"/>
      <c r="C132" s="18"/>
      <c r="D132" s="18"/>
      <c r="E132" s="20" t="s">
        <v>468</v>
      </c>
      <c r="F132" s="26" t="s">
        <v>471</v>
      </c>
      <c r="G132" s="167">
        <f>900000*4</f>
        <v>3600000</v>
      </c>
      <c r="H132" s="38">
        <f>900000*4</f>
        <v>3600000</v>
      </c>
      <c r="I132" s="22">
        <f t="shared" si="9"/>
        <v>0</v>
      </c>
      <c r="J132" s="223"/>
      <c r="K132" s="133"/>
      <c r="L132" s="98"/>
      <c r="M132" s="62"/>
      <c r="N132" s="97"/>
    </row>
    <row r="133" spans="1:14" s="23" customFormat="1" ht="18" customHeight="1">
      <c r="A133" s="13"/>
      <c r="B133" s="25"/>
      <c r="C133" s="18"/>
      <c r="D133" s="18"/>
      <c r="E133" s="20" t="s">
        <v>468</v>
      </c>
      <c r="F133" s="28" t="s">
        <v>472</v>
      </c>
      <c r="G133" s="156">
        <f>400000*2+120000*5+300000*1+20000*1+220000</f>
        <v>1940000</v>
      </c>
      <c r="H133" s="21">
        <v>3000000</v>
      </c>
      <c r="I133" s="22">
        <f t="shared" si="9"/>
        <v>-1060000</v>
      </c>
      <c r="J133" s="88" t="s">
        <v>656</v>
      </c>
      <c r="K133" s="133"/>
      <c r="L133" s="98"/>
      <c r="M133" s="62"/>
      <c r="N133" s="97"/>
    </row>
    <row r="134" spans="1:14" s="23" customFormat="1" ht="18" customHeight="1">
      <c r="A134" s="13"/>
      <c r="B134" s="25"/>
      <c r="C134" s="18"/>
      <c r="D134" s="94"/>
      <c r="E134" s="20" t="s">
        <v>468</v>
      </c>
      <c r="F134" s="26" t="s">
        <v>473</v>
      </c>
      <c r="G134" s="167">
        <f>30000*700</f>
        <v>21000000</v>
      </c>
      <c r="H134" s="38">
        <v>5000000</v>
      </c>
      <c r="I134" s="22">
        <f t="shared" si="9"/>
        <v>16000000</v>
      </c>
      <c r="J134" s="223"/>
      <c r="K134" s="133"/>
      <c r="L134" s="98"/>
      <c r="M134" s="62"/>
      <c r="N134" s="97"/>
    </row>
    <row r="135" spans="1:14" s="23" customFormat="1" ht="18" customHeight="1">
      <c r="A135" s="13"/>
      <c r="B135" s="25"/>
      <c r="C135" s="18"/>
      <c r="D135" s="18"/>
      <c r="E135" s="20" t="s">
        <v>468</v>
      </c>
      <c r="F135" s="26" t="s">
        <v>474</v>
      </c>
      <c r="G135" s="167">
        <f>(3330000*12)+65040000-4484000</f>
        <v>100516000</v>
      </c>
      <c r="H135" s="38">
        <v>105000000</v>
      </c>
      <c r="I135" s="22">
        <f t="shared" si="9"/>
        <v>-4484000</v>
      </c>
      <c r="J135" s="223"/>
      <c r="K135" s="133"/>
      <c r="L135" s="98"/>
      <c r="M135" s="62"/>
      <c r="N135" s="97"/>
    </row>
    <row r="136" spans="1:14" s="23" customFormat="1" ht="18" customHeight="1">
      <c r="A136" s="13"/>
      <c r="B136" s="25"/>
      <c r="C136" s="18"/>
      <c r="D136" s="18"/>
      <c r="E136" s="20" t="s">
        <v>468</v>
      </c>
      <c r="F136" s="16" t="s">
        <v>475</v>
      </c>
      <c r="G136" s="157">
        <f>(6000000*12)+(5000000*12)+(8000000*2)</f>
        <v>148000000</v>
      </c>
      <c r="H136" s="39">
        <v>130000000</v>
      </c>
      <c r="I136" s="22">
        <f>G136-H136</f>
        <v>18000000</v>
      </c>
      <c r="J136" s="222" t="s">
        <v>671</v>
      </c>
      <c r="K136" s="133"/>
      <c r="L136" s="98"/>
      <c r="M136" s="62"/>
      <c r="N136" s="97"/>
    </row>
    <row r="137" spans="1:14" s="23" customFormat="1" ht="18" customHeight="1">
      <c r="A137" s="13"/>
      <c r="B137" s="25"/>
      <c r="C137" s="18"/>
      <c r="D137" s="18"/>
      <c r="E137" s="20" t="s">
        <v>468</v>
      </c>
      <c r="F137" s="28" t="s">
        <v>476</v>
      </c>
      <c r="G137" s="156">
        <v>3000000</v>
      </c>
      <c r="H137" s="21">
        <v>3000000</v>
      </c>
      <c r="I137" s="22">
        <f t="shared" si="9"/>
        <v>0</v>
      </c>
      <c r="J137" s="88"/>
      <c r="K137" s="133"/>
      <c r="L137" s="98"/>
      <c r="M137" s="62"/>
      <c r="N137" s="97"/>
    </row>
    <row r="138" spans="1:14" s="23" customFormat="1" ht="18" customHeight="1">
      <c r="A138" s="13"/>
      <c r="B138" s="25"/>
      <c r="C138" s="18"/>
      <c r="D138" s="18"/>
      <c r="E138" s="20" t="s">
        <v>468</v>
      </c>
      <c r="F138" s="26" t="s">
        <v>658</v>
      </c>
      <c r="G138" s="167">
        <v>5000000</v>
      </c>
      <c r="H138" s="38">
        <v>5000000</v>
      </c>
      <c r="I138" s="22">
        <f>G138-H138</f>
        <v>0</v>
      </c>
      <c r="J138" s="223"/>
      <c r="K138" s="133"/>
      <c r="L138" s="98"/>
      <c r="M138" s="62"/>
      <c r="N138" s="97"/>
    </row>
    <row r="139" spans="1:14" s="23" customFormat="1" ht="18" customHeight="1">
      <c r="A139" s="13"/>
      <c r="B139" s="25"/>
      <c r="C139" s="18"/>
      <c r="D139" s="18"/>
      <c r="E139" s="20" t="s">
        <v>468</v>
      </c>
      <c r="F139" s="26" t="s">
        <v>477</v>
      </c>
      <c r="G139" s="167">
        <v>7260000</v>
      </c>
      <c r="H139" s="38">
        <v>7260000</v>
      </c>
      <c r="I139" s="22">
        <f t="shared" si="9"/>
        <v>0</v>
      </c>
      <c r="J139" s="223"/>
      <c r="K139" s="133"/>
      <c r="L139" s="98"/>
      <c r="M139" s="62"/>
      <c r="N139" s="97"/>
    </row>
    <row r="140" spans="1:14" s="23" customFormat="1" ht="18" customHeight="1">
      <c r="A140" s="13"/>
      <c r="B140" s="25"/>
      <c r="C140" s="18"/>
      <c r="D140" s="18"/>
      <c r="E140" s="20" t="s">
        <v>468</v>
      </c>
      <c r="F140" s="28" t="s">
        <v>478</v>
      </c>
      <c r="G140" s="156">
        <f>3500000*12+8000000+1888000</f>
        <v>51888000</v>
      </c>
      <c r="H140" s="21">
        <v>79075000</v>
      </c>
      <c r="I140" s="22">
        <f t="shared" si="9"/>
        <v>-27187000</v>
      </c>
      <c r="J140" s="88"/>
      <c r="K140" s="133"/>
      <c r="L140" s="98"/>
      <c r="M140" s="62"/>
      <c r="N140" s="97"/>
    </row>
    <row r="141" spans="1:14" s="23" customFormat="1" ht="18" customHeight="1">
      <c r="A141" s="13"/>
      <c r="B141" s="25"/>
      <c r="C141" s="24"/>
      <c r="D141" s="25"/>
      <c r="E141" s="20" t="s">
        <v>468</v>
      </c>
      <c r="F141" s="28" t="s">
        <v>479</v>
      </c>
      <c r="G141" s="156">
        <f>2310000*12</f>
        <v>27720000</v>
      </c>
      <c r="H141" s="21">
        <f>2310000*12</f>
        <v>27720000</v>
      </c>
      <c r="I141" s="22">
        <f>G141-H141</f>
        <v>0</v>
      </c>
      <c r="J141" s="88"/>
      <c r="K141" s="133"/>
      <c r="L141" s="98"/>
      <c r="M141" s="62"/>
      <c r="N141" s="97"/>
    </row>
    <row r="142" spans="1:14" s="23" customFormat="1" ht="18" customHeight="1">
      <c r="A142" s="13"/>
      <c r="B142" s="25"/>
      <c r="C142" s="24"/>
      <c r="D142" s="25"/>
      <c r="E142" s="20" t="s">
        <v>468</v>
      </c>
      <c r="F142" s="28" t="s">
        <v>480</v>
      </c>
      <c r="G142" s="156">
        <f>2500000*6</f>
        <v>15000000</v>
      </c>
      <c r="H142" s="21">
        <v>10000000</v>
      </c>
      <c r="I142" s="22">
        <f t="shared" ref="I142:I155" si="10">G142-H142</f>
        <v>5000000</v>
      </c>
      <c r="J142" s="88"/>
      <c r="K142" s="133"/>
      <c r="L142" s="98"/>
      <c r="M142" s="62"/>
      <c r="N142" s="97"/>
    </row>
    <row r="143" spans="1:14" s="23" customFormat="1" ht="18" customHeight="1">
      <c r="A143" s="13"/>
      <c r="B143" s="25"/>
      <c r="C143" s="24"/>
      <c r="D143" s="25"/>
      <c r="E143" s="20" t="s">
        <v>468</v>
      </c>
      <c r="F143" s="16" t="s">
        <v>481</v>
      </c>
      <c r="G143" s="157">
        <f>600000*12</f>
        <v>7200000</v>
      </c>
      <c r="H143" s="39">
        <v>7200000</v>
      </c>
      <c r="I143" s="22">
        <f t="shared" si="10"/>
        <v>0</v>
      </c>
      <c r="J143" s="222"/>
      <c r="K143" s="133"/>
      <c r="L143" s="98"/>
      <c r="M143" s="62"/>
      <c r="N143" s="97"/>
    </row>
    <row r="144" spans="1:14" s="23" customFormat="1" ht="18" customHeight="1">
      <c r="A144" s="13"/>
      <c r="B144" s="25"/>
      <c r="C144" s="24"/>
      <c r="D144" s="25"/>
      <c r="E144" s="20" t="s">
        <v>468</v>
      </c>
      <c r="F144" s="28" t="s">
        <v>482</v>
      </c>
      <c r="G144" s="156">
        <f>(330000*12)</f>
        <v>3960000</v>
      </c>
      <c r="H144" s="21">
        <f>500000*12</f>
        <v>6000000</v>
      </c>
      <c r="I144" s="22">
        <f t="shared" si="10"/>
        <v>-2040000</v>
      </c>
      <c r="J144" s="88"/>
      <c r="K144" s="133"/>
      <c r="L144" s="98"/>
      <c r="M144" s="62"/>
      <c r="N144" s="97"/>
    </row>
    <row r="145" spans="1:14" s="23" customFormat="1" ht="18" customHeight="1">
      <c r="A145" s="13"/>
      <c r="B145" s="25"/>
      <c r="C145" s="24"/>
      <c r="D145" s="25"/>
      <c r="E145" s="20" t="s">
        <v>468</v>
      </c>
      <c r="F145" s="26" t="s">
        <v>483</v>
      </c>
      <c r="G145" s="167">
        <f>(8700000*12)-20880000</f>
        <v>83520000</v>
      </c>
      <c r="H145" s="38">
        <f>8600000*12</f>
        <v>103200000</v>
      </c>
      <c r="I145" s="22">
        <f t="shared" si="10"/>
        <v>-19680000</v>
      </c>
      <c r="J145" s="223"/>
      <c r="K145" s="133"/>
      <c r="L145" s="98"/>
      <c r="M145" s="62"/>
      <c r="N145" s="97"/>
    </row>
    <row r="146" spans="1:14" s="23" customFormat="1" ht="18" customHeight="1">
      <c r="A146" s="13"/>
      <c r="B146" s="25"/>
      <c r="C146" s="24"/>
      <c r="D146" s="25"/>
      <c r="E146" s="20" t="s">
        <v>468</v>
      </c>
      <c r="F146" s="28" t="s">
        <v>484</v>
      </c>
      <c r="G146" s="156">
        <f>(67000000*12)</f>
        <v>804000000</v>
      </c>
      <c r="H146" s="21">
        <f>(67500000*12)-5922000</f>
        <v>804078000</v>
      </c>
      <c r="I146" s="22">
        <f t="shared" si="10"/>
        <v>-78000</v>
      </c>
      <c r="J146" s="88"/>
      <c r="K146" s="133"/>
      <c r="L146" s="98"/>
      <c r="M146" s="62"/>
      <c r="N146" s="97"/>
    </row>
    <row r="147" spans="1:14" s="23" customFormat="1" ht="18" customHeight="1">
      <c r="A147" s="13"/>
      <c r="B147" s="25"/>
      <c r="C147" s="18"/>
      <c r="D147" s="24"/>
      <c r="E147" s="16" t="s">
        <v>84</v>
      </c>
      <c r="F147" s="28" t="s">
        <v>653</v>
      </c>
      <c r="G147" s="156">
        <f>(2000000*12)-9600000</f>
        <v>14400000</v>
      </c>
      <c r="H147" s="21">
        <v>0</v>
      </c>
      <c r="I147" s="22">
        <f t="shared" si="10"/>
        <v>14400000</v>
      </c>
      <c r="J147" s="138"/>
      <c r="K147" s="133"/>
      <c r="L147" s="98"/>
      <c r="M147" s="62"/>
      <c r="N147" s="97"/>
    </row>
    <row r="148" spans="1:14" s="23" customFormat="1" ht="18" customHeight="1">
      <c r="A148" s="13"/>
      <c r="B148" s="25"/>
      <c r="C148" s="24"/>
      <c r="D148" s="25"/>
      <c r="E148" s="20" t="s">
        <v>468</v>
      </c>
      <c r="F148" s="28" t="s">
        <v>83</v>
      </c>
      <c r="G148" s="156">
        <f>(450000*12)-2160000</f>
        <v>3240000</v>
      </c>
      <c r="H148" s="21">
        <f>500000*12</f>
        <v>6000000</v>
      </c>
      <c r="I148" s="22">
        <f t="shared" si="10"/>
        <v>-2760000</v>
      </c>
      <c r="J148" s="88"/>
      <c r="K148" s="133"/>
      <c r="L148" s="98"/>
      <c r="M148" s="62"/>
      <c r="N148" s="97"/>
    </row>
    <row r="149" spans="1:14" s="23" customFormat="1" ht="18" customHeight="1">
      <c r="A149" s="13"/>
      <c r="B149" s="25"/>
      <c r="C149" s="24"/>
      <c r="D149" s="25"/>
      <c r="E149" s="20" t="s">
        <v>468</v>
      </c>
      <c r="F149" s="28" t="s">
        <v>485</v>
      </c>
      <c r="G149" s="156">
        <f>44000*30*12</f>
        <v>15840000</v>
      </c>
      <c r="H149" s="21">
        <v>14000000</v>
      </c>
      <c r="I149" s="22">
        <f t="shared" si="10"/>
        <v>1840000</v>
      </c>
      <c r="J149" s="88"/>
      <c r="K149" s="133"/>
      <c r="L149" s="98"/>
      <c r="M149" s="62"/>
      <c r="N149" s="97"/>
    </row>
    <row r="150" spans="1:14" s="23" customFormat="1" ht="18" customHeight="1">
      <c r="A150" s="13"/>
      <c r="B150" s="25"/>
      <c r="C150" s="24"/>
      <c r="D150" s="25"/>
      <c r="E150" s="20" t="s">
        <v>468</v>
      </c>
      <c r="F150" s="28" t="s">
        <v>486</v>
      </c>
      <c r="G150" s="156">
        <f>1060000*12</f>
        <v>12720000</v>
      </c>
      <c r="H150" s="21">
        <f>740000*12</f>
        <v>8880000</v>
      </c>
      <c r="I150" s="22">
        <f t="shared" si="10"/>
        <v>3840000</v>
      </c>
      <c r="J150" s="88"/>
      <c r="K150" s="133"/>
      <c r="L150" s="98"/>
      <c r="M150" s="62"/>
      <c r="N150" s="97"/>
    </row>
    <row r="151" spans="1:14" s="23" customFormat="1" ht="18" customHeight="1">
      <c r="A151" s="13"/>
      <c r="B151" s="25"/>
      <c r="C151" s="24"/>
      <c r="D151" s="25"/>
      <c r="E151" s="20" t="s">
        <v>84</v>
      </c>
      <c r="F151" s="28" t="s">
        <v>666</v>
      </c>
      <c r="G151" s="156">
        <v>60000000</v>
      </c>
      <c r="H151" s="21">
        <v>0</v>
      </c>
      <c r="I151" s="22">
        <f t="shared" ref="I151" si="11">G151-H151</f>
        <v>60000000</v>
      </c>
      <c r="J151" s="88" t="s">
        <v>665</v>
      </c>
      <c r="K151" s="133"/>
      <c r="L151" s="98"/>
      <c r="M151" s="62"/>
      <c r="N151" s="97"/>
    </row>
    <row r="152" spans="1:14" s="23" customFormat="1" ht="18" customHeight="1">
      <c r="A152" s="13"/>
      <c r="B152" s="25"/>
      <c r="C152" s="24"/>
      <c r="D152" s="25"/>
      <c r="E152" s="20" t="s">
        <v>84</v>
      </c>
      <c r="F152" s="28" t="s">
        <v>667</v>
      </c>
      <c r="G152" s="156">
        <v>8000000</v>
      </c>
      <c r="H152" s="21">
        <v>0</v>
      </c>
      <c r="I152" s="22">
        <f t="shared" ref="I152" si="12">G152-H152</f>
        <v>8000000</v>
      </c>
      <c r="J152" s="88" t="s">
        <v>668</v>
      </c>
      <c r="K152" s="133"/>
      <c r="L152" s="98"/>
      <c r="M152" s="62"/>
      <c r="N152" s="97"/>
    </row>
    <row r="153" spans="1:14" s="23" customFormat="1" ht="18" customHeight="1">
      <c r="A153" s="13"/>
      <c r="B153" s="25"/>
      <c r="C153" s="18"/>
      <c r="D153" s="18"/>
      <c r="E153" s="20" t="s">
        <v>487</v>
      </c>
      <c r="F153" s="28" t="s">
        <v>654</v>
      </c>
      <c r="G153" s="156">
        <f>100000*20</f>
        <v>2000000</v>
      </c>
      <c r="H153" s="21">
        <v>2000000</v>
      </c>
      <c r="I153" s="22">
        <f t="shared" si="10"/>
        <v>0</v>
      </c>
      <c r="J153" s="88"/>
      <c r="K153" s="133"/>
      <c r="L153" s="98"/>
      <c r="M153" s="62"/>
      <c r="N153" s="97"/>
    </row>
    <row r="154" spans="1:14" s="23" customFormat="1" ht="18" customHeight="1">
      <c r="A154" s="13"/>
      <c r="B154" s="25"/>
      <c r="C154" s="18"/>
      <c r="D154" s="18"/>
      <c r="E154" s="20" t="s">
        <v>487</v>
      </c>
      <c r="F154" s="28" t="s">
        <v>488</v>
      </c>
      <c r="G154" s="156">
        <f>(2000000*2)</f>
        <v>4000000</v>
      </c>
      <c r="H154" s="21">
        <v>4000000</v>
      </c>
      <c r="I154" s="22">
        <f t="shared" si="10"/>
        <v>0</v>
      </c>
      <c r="J154" s="88"/>
      <c r="K154" s="200"/>
      <c r="L154" s="98"/>
      <c r="M154" s="62"/>
      <c r="N154" s="97"/>
    </row>
    <row r="155" spans="1:14" s="23" customFormat="1" ht="18" customHeight="1">
      <c r="A155" s="13"/>
      <c r="B155" s="25"/>
      <c r="C155" s="18"/>
      <c r="D155" s="18"/>
      <c r="E155" s="20" t="s">
        <v>489</v>
      </c>
      <c r="F155" s="28" t="s">
        <v>489</v>
      </c>
      <c r="G155" s="159">
        <f>16700000*12</f>
        <v>200400000</v>
      </c>
      <c r="H155" s="27">
        <v>200000000</v>
      </c>
      <c r="I155" s="22">
        <f t="shared" si="10"/>
        <v>400000</v>
      </c>
      <c r="J155" s="44"/>
      <c r="K155" s="200"/>
      <c r="L155" s="98"/>
      <c r="M155" s="62"/>
      <c r="N155" s="97"/>
    </row>
    <row r="156" spans="1:14" s="23" customFormat="1" ht="18" customHeight="1">
      <c r="A156" s="13"/>
      <c r="B156" s="25"/>
      <c r="C156" s="18"/>
      <c r="D156" s="18"/>
      <c r="E156" s="20" t="s">
        <v>490</v>
      </c>
      <c r="F156" s="28" t="s">
        <v>491</v>
      </c>
      <c r="G156" s="159">
        <f>4000000*12</f>
        <v>48000000</v>
      </c>
      <c r="H156" s="27">
        <v>37000000</v>
      </c>
      <c r="I156" s="22">
        <f t="shared" si="9"/>
        <v>11000000</v>
      </c>
      <c r="J156" s="44"/>
      <c r="K156" s="200"/>
      <c r="L156" s="98"/>
      <c r="M156" s="62"/>
      <c r="N156" s="97"/>
    </row>
    <row r="157" spans="1:14" s="23" customFormat="1" ht="18" customHeight="1">
      <c r="A157" s="13"/>
      <c r="B157" s="25"/>
      <c r="C157" s="18"/>
      <c r="D157" s="18"/>
      <c r="E157" s="20" t="s">
        <v>492</v>
      </c>
      <c r="F157" s="28" t="s">
        <v>493</v>
      </c>
      <c r="G157" s="176">
        <f>41000000*12</f>
        <v>492000000</v>
      </c>
      <c r="H157" s="41">
        <v>473270000</v>
      </c>
      <c r="I157" s="22">
        <f t="shared" si="9"/>
        <v>18730000</v>
      </c>
      <c r="J157" s="55"/>
      <c r="K157" s="133"/>
      <c r="L157" s="98"/>
      <c r="M157" s="62"/>
      <c r="N157" s="97"/>
    </row>
    <row r="158" spans="1:14" s="23" customFormat="1" ht="18" customHeight="1">
      <c r="A158" s="13"/>
      <c r="B158" s="25"/>
      <c r="C158" s="18"/>
      <c r="D158" s="18"/>
      <c r="E158" s="19" t="s">
        <v>494</v>
      </c>
      <c r="F158" s="16" t="s">
        <v>495</v>
      </c>
      <c r="G158" s="157">
        <f>(3792090*10)+79100</f>
        <v>38000000</v>
      </c>
      <c r="H158" s="39">
        <v>45600000</v>
      </c>
      <c r="I158" s="22">
        <f t="shared" si="9"/>
        <v>-7600000</v>
      </c>
      <c r="J158" s="222"/>
      <c r="K158" s="133"/>
      <c r="L158" s="98"/>
      <c r="M158" s="62"/>
      <c r="N158" s="97"/>
    </row>
    <row r="159" spans="1:14" s="23" customFormat="1" ht="18" customHeight="1">
      <c r="A159" s="13"/>
      <c r="B159" s="25"/>
      <c r="C159" s="18"/>
      <c r="D159" s="18"/>
      <c r="E159" s="20" t="s">
        <v>494</v>
      </c>
      <c r="F159" s="28" t="s">
        <v>496</v>
      </c>
      <c r="G159" s="176">
        <v>0</v>
      </c>
      <c r="H159" s="41">
        <v>3100000</v>
      </c>
      <c r="I159" s="22">
        <f t="shared" si="9"/>
        <v>-3100000</v>
      </c>
      <c r="J159" s="55"/>
      <c r="K159" s="133"/>
      <c r="L159" s="98"/>
      <c r="M159" s="62"/>
      <c r="N159" s="97"/>
    </row>
    <row r="160" spans="1:14" s="23" customFormat="1" ht="18" customHeight="1">
      <c r="A160" s="13"/>
      <c r="B160" s="25"/>
      <c r="C160" s="18"/>
      <c r="D160" s="35"/>
      <c r="E160" s="20" t="s">
        <v>433</v>
      </c>
      <c r="F160" s="28" t="s">
        <v>497</v>
      </c>
      <c r="G160" s="156">
        <v>800000</v>
      </c>
      <c r="H160" s="21">
        <v>800000</v>
      </c>
      <c r="I160" s="22">
        <f t="shared" si="9"/>
        <v>0</v>
      </c>
      <c r="J160" s="88"/>
      <c r="K160" s="133"/>
      <c r="L160" s="98"/>
      <c r="M160" s="62"/>
      <c r="N160" s="97"/>
    </row>
    <row r="161" spans="1:16" s="23" customFormat="1" ht="18" customHeight="1">
      <c r="A161" s="13"/>
      <c r="B161" s="25"/>
      <c r="C161" s="18"/>
      <c r="D161" s="266" t="s">
        <v>498</v>
      </c>
      <c r="E161" s="262"/>
      <c r="F161" s="59"/>
      <c r="G161" s="202">
        <f>SUM(G162:G165)</f>
        <v>114800000</v>
      </c>
      <c r="H161" s="42">
        <f>SUM(H162:H165)</f>
        <v>129300000</v>
      </c>
      <c r="I161" s="42">
        <f>SUM(I162:I165)</f>
        <v>-14500000</v>
      </c>
      <c r="J161" s="149"/>
      <c r="K161" s="200"/>
      <c r="L161" s="98"/>
      <c r="M161" s="62"/>
      <c r="N161" s="97"/>
      <c r="O161" s="60"/>
      <c r="P161" s="97"/>
    </row>
    <row r="162" spans="1:16" s="23" customFormat="1" ht="18" customHeight="1">
      <c r="A162" s="13"/>
      <c r="B162" s="25"/>
      <c r="C162" s="18"/>
      <c r="D162" s="18"/>
      <c r="E162" s="20" t="s">
        <v>498</v>
      </c>
      <c r="F162" s="26" t="s">
        <v>499</v>
      </c>
      <c r="G162" s="167">
        <v>14500000</v>
      </c>
      <c r="H162" s="38">
        <v>29000000</v>
      </c>
      <c r="I162" s="22">
        <f t="shared" si="9"/>
        <v>-14500000</v>
      </c>
      <c r="J162" s="149"/>
      <c r="K162" s="200"/>
      <c r="L162" s="98"/>
      <c r="M162" s="62"/>
      <c r="N162" s="97"/>
    </row>
    <row r="163" spans="1:16" s="23" customFormat="1" ht="18" customHeight="1">
      <c r="A163" s="13"/>
      <c r="B163" s="25"/>
      <c r="C163" s="18"/>
      <c r="D163" s="18"/>
      <c r="E163" s="20" t="s">
        <v>498</v>
      </c>
      <c r="F163" s="28" t="s">
        <v>500</v>
      </c>
      <c r="G163" s="156">
        <v>90000000</v>
      </c>
      <c r="H163" s="21">
        <v>90000000</v>
      </c>
      <c r="I163" s="22">
        <f t="shared" si="9"/>
        <v>0</v>
      </c>
      <c r="J163" s="88"/>
      <c r="K163" s="200"/>
      <c r="L163" s="98"/>
      <c r="M163" s="62"/>
      <c r="N163" s="97"/>
    </row>
    <row r="164" spans="1:16" s="23" customFormat="1" ht="18" customHeight="1">
      <c r="A164" s="13"/>
      <c r="B164" s="25"/>
      <c r="C164" s="18"/>
      <c r="D164" s="18"/>
      <c r="E164" s="20" t="s">
        <v>501</v>
      </c>
      <c r="F164" s="28" t="s">
        <v>502</v>
      </c>
      <c r="G164" s="159">
        <f>500000*12</f>
        <v>6000000</v>
      </c>
      <c r="H164" s="47">
        <v>6000000</v>
      </c>
      <c r="I164" s="22">
        <f t="shared" si="9"/>
        <v>0</v>
      </c>
      <c r="J164" s="44"/>
      <c r="K164" s="200"/>
      <c r="L164" s="98"/>
      <c r="M164" s="62"/>
      <c r="N164" s="97"/>
      <c r="O164" s="60"/>
      <c r="P164" s="97"/>
    </row>
    <row r="165" spans="1:16" s="23" customFormat="1" ht="18" customHeight="1">
      <c r="A165" s="13"/>
      <c r="B165" s="25"/>
      <c r="C165" s="18"/>
      <c r="D165" s="18"/>
      <c r="E165" s="35" t="s">
        <v>501</v>
      </c>
      <c r="F165" s="28" t="s">
        <v>14</v>
      </c>
      <c r="G165" s="159">
        <v>4300000</v>
      </c>
      <c r="H165" s="27">
        <v>4300000</v>
      </c>
      <c r="I165" s="22">
        <f t="shared" si="9"/>
        <v>0</v>
      </c>
      <c r="J165" s="44"/>
      <c r="K165" s="200"/>
      <c r="L165" s="98"/>
      <c r="M165" s="62"/>
      <c r="N165" s="97"/>
      <c r="O165" s="60"/>
      <c r="P165" s="97"/>
    </row>
    <row r="166" spans="1:16" s="23" customFormat="1" ht="18" customHeight="1">
      <c r="A166" s="13"/>
      <c r="B166" s="263" t="s">
        <v>503</v>
      </c>
      <c r="C166" s="264"/>
      <c r="D166" s="264"/>
      <c r="E166" s="264"/>
      <c r="F166" s="152"/>
      <c r="G166" s="177">
        <f>G167+G170+G177+G180</f>
        <v>38550000</v>
      </c>
      <c r="H166" s="45">
        <f>H167+H170+H177+H180</f>
        <v>38550000</v>
      </c>
      <c r="I166" s="45">
        <f>I167+I170+I177+I180</f>
        <v>0</v>
      </c>
      <c r="J166" s="86"/>
      <c r="K166" s="200"/>
      <c r="L166" s="98"/>
      <c r="M166" s="62"/>
      <c r="N166" s="97"/>
    </row>
    <row r="167" spans="1:16" s="23" customFormat="1" ht="18" customHeight="1">
      <c r="A167" s="13"/>
      <c r="B167" s="25"/>
      <c r="C167" s="248" t="s">
        <v>504</v>
      </c>
      <c r="D167" s="249"/>
      <c r="E167" s="249"/>
      <c r="F167" s="154"/>
      <c r="G167" s="178">
        <f t="shared" ref="G167:I168" si="13">G168</f>
        <v>4500000</v>
      </c>
      <c r="H167" s="36">
        <f t="shared" si="13"/>
        <v>4500000</v>
      </c>
      <c r="I167" s="36">
        <f t="shared" si="13"/>
        <v>0</v>
      </c>
      <c r="J167" s="87"/>
      <c r="K167" s="200"/>
      <c r="L167" s="98"/>
      <c r="M167" s="62"/>
      <c r="N167" s="97"/>
    </row>
    <row r="168" spans="1:16" s="23" customFormat="1" ht="18" customHeight="1">
      <c r="A168" s="13"/>
      <c r="B168" s="25"/>
      <c r="C168" s="18"/>
      <c r="D168" s="265" t="s">
        <v>498</v>
      </c>
      <c r="E168" s="262"/>
      <c r="F168" s="59"/>
      <c r="G168" s="202">
        <f t="shared" si="13"/>
        <v>4500000</v>
      </c>
      <c r="H168" s="42">
        <f t="shared" si="13"/>
        <v>4500000</v>
      </c>
      <c r="I168" s="42">
        <f t="shared" si="13"/>
        <v>0</v>
      </c>
      <c r="J168" s="149"/>
      <c r="K168" s="200"/>
      <c r="L168" s="98"/>
      <c r="M168" s="62"/>
      <c r="N168" s="97"/>
    </row>
    <row r="169" spans="1:16" s="23" customFormat="1" ht="18" customHeight="1">
      <c r="A169" s="13"/>
      <c r="B169" s="25"/>
      <c r="C169" s="18"/>
      <c r="D169" s="18"/>
      <c r="E169" s="16" t="s">
        <v>501</v>
      </c>
      <c r="F169" s="16" t="s">
        <v>505</v>
      </c>
      <c r="G169" s="157">
        <v>4500000</v>
      </c>
      <c r="H169" s="39">
        <v>4500000</v>
      </c>
      <c r="I169" s="22">
        <f t="shared" ref="I169" si="14">G169-H169</f>
        <v>0</v>
      </c>
      <c r="J169" s="148"/>
      <c r="K169" s="200"/>
      <c r="L169" s="98"/>
      <c r="M169" s="62"/>
      <c r="N169" s="97"/>
    </row>
    <row r="170" spans="1:16" s="23" customFormat="1" ht="18" customHeight="1">
      <c r="A170" s="13"/>
      <c r="B170" s="25"/>
      <c r="C170" s="248" t="s">
        <v>506</v>
      </c>
      <c r="D170" s="249"/>
      <c r="E170" s="249"/>
      <c r="F170" s="154"/>
      <c r="G170" s="178">
        <f>G171</f>
        <v>16050000</v>
      </c>
      <c r="H170" s="36">
        <f>H171</f>
        <v>16050000</v>
      </c>
      <c r="I170" s="36">
        <f>I171</f>
        <v>0</v>
      </c>
      <c r="J170" s="87"/>
      <c r="K170" s="200"/>
      <c r="L170" s="98"/>
      <c r="M170" s="62"/>
      <c r="N170" s="97"/>
    </row>
    <row r="171" spans="1:16" s="23" customFormat="1" ht="18" customHeight="1">
      <c r="A171" s="13"/>
      <c r="B171" s="25"/>
      <c r="C171" s="94"/>
      <c r="D171" s="266" t="s">
        <v>426</v>
      </c>
      <c r="E171" s="267"/>
      <c r="F171" s="59"/>
      <c r="G171" s="202">
        <f>SUM(G172:G176)</f>
        <v>16050000</v>
      </c>
      <c r="H171" s="42">
        <f>SUM(H172:H176)</f>
        <v>16050000</v>
      </c>
      <c r="I171" s="42">
        <f>SUM(I172:I176)</f>
        <v>0</v>
      </c>
      <c r="J171" s="149"/>
      <c r="K171" s="200"/>
      <c r="L171" s="98"/>
      <c r="M171" s="62"/>
      <c r="N171" s="97"/>
    </row>
    <row r="172" spans="1:16" s="23" customFormat="1" ht="18" customHeight="1">
      <c r="A172" s="13"/>
      <c r="B172" s="25"/>
      <c r="C172" s="18"/>
      <c r="D172" s="49"/>
      <c r="E172" s="28" t="s">
        <v>468</v>
      </c>
      <c r="F172" s="28" t="s">
        <v>507</v>
      </c>
      <c r="G172" s="156">
        <f>650000*2</f>
        <v>1300000</v>
      </c>
      <c r="H172" s="21">
        <f>650000*2</f>
        <v>1300000</v>
      </c>
      <c r="I172" s="22">
        <f t="shared" ref="I172:I176" si="15">G172-H172</f>
        <v>0</v>
      </c>
      <c r="J172" s="88"/>
      <c r="K172" s="200"/>
      <c r="L172" s="98"/>
      <c r="M172" s="62"/>
      <c r="N172" s="97"/>
    </row>
    <row r="173" spans="1:16" s="23" customFormat="1" ht="18" customHeight="1">
      <c r="A173" s="13"/>
      <c r="B173" s="25"/>
      <c r="C173" s="18"/>
      <c r="D173" s="49"/>
      <c r="E173" s="28" t="s">
        <v>468</v>
      </c>
      <c r="F173" s="28" t="s">
        <v>485</v>
      </c>
      <c r="G173" s="156">
        <f>44000*25*12</f>
        <v>13200000</v>
      </c>
      <c r="H173" s="21">
        <f>44000*25*12</f>
        <v>13200000</v>
      </c>
      <c r="I173" s="22">
        <f t="shared" si="15"/>
        <v>0</v>
      </c>
      <c r="J173" s="88"/>
      <c r="K173" s="200"/>
      <c r="L173" s="98"/>
      <c r="M173" s="62"/>
      <c r="N173" s="97"/>
    </row>
    <row r="174" spans="1:16" s="23" customFormat="1" ht="18" customHeight="1">
      <c r="A174" s="13"/>
      <c r="B174" s="25"/>
      <c r="C174" s="18"/>
      <c r="D174" s="18"/>
      <c r="E174" s="28" t="s">
        <v>468</v>
      </c>
      <c r="F174" s="26" t="s">
        <v>508</v>
      </c>
      <c r="G174" s="167">
        <v>1000000</v>
      </c>
      <c r="H174" s="38">
        <v>1000000</v>
      </c>
      <c r="I174" s="22">
        <f t="shared" si="15"/>
        <v>0</v>
      </c>
      <c r="J174" s="149"/>
      <c r="K174" s="200"/>
      <c r="L174" s="98"/>
      <c r="M174" s="62"/>
      <c r="N174" s="97"/>
    </row>
    <row r="175" spans="1:16" s="23" customFormat="1" ht="18" customHeight="1">
      <c r="A175" s="13"/>
      <c r="B175" s="25"/>
      <c r="C175" s="18"/>
      <c r="D175" s="125"/>
      <c r="E175" s="28" t="s">
        <v>468</v>
      </c>
      <c r="F175" s="16" t="s">
        <v>509</v>
      </c>
      <c r="G175" s="157">
        <v>500000</v>
      </c>
      <c r="H175" s="39">
        <v>500000</v>
      </c>
      <c r="I175" s="22">
        <f t="shared" si="15"/>
        <v>0</v>
      </c>
      <c r="J175" s="148"/>
      <c r="K175" s="200"/>
      <c r="L175" s="98"/>
      <c r="M175" s="62"/>
      <c r="N175" s="97"/>
    </row>
    <row r="176" spans="1:16" s="23" customFormat="1" ht="18" customHeight="1">
      <c r="A176" s="13"/>
      <c r="B176" s="25"/>
      <c r="C176" s="18"/>
      <c r="D176" s="49"/>
      <c r="E176" s="16" t="s">
        <v>433</v>
      </c>
      <c r="F176" s="16" t="s">
        <v>510</v>
      </c>
      <c r="G176" s="157">
        <v>50000</v>
      </c>
      <c r="H176" s="39">
        <v>50000</v>
      </c>
      <c r="I176" s="22">
        <f t="shared" si="15"/>
        <v>0</v>
      </c>
      <c r="J176" s="148"/>
      <c r="K176" s="200"/>
      <c r="L176" s="98"/>
      <c r="M176" s="62"/>
      <c r="N176" s="97"/>
    </row>
    <row r="177" spans="1:14" s="23" customFormat="1" ht="18" customHeight="1">
      <c r="A177" s="13"/>
      <c r="B177" s="25"/>
      <c r="C177" s="248" t="s">
        <v>511</v>
      </c>
      <c r="D177" s="249"/>
      <c r="E177" s="249"/>
      <c r="F177" s="154"/>
      <c r="G177" s="178">
        <f t="shared" ref="G177:I178" si="16">G178</f>
        <v>12000000</v>
      </c>
      <c r="H177" s="36">
        <f t="shared" si="16"/>
        <v>12000000</v>
      </c>
      <c r="I177" s="36">
        <f t="shared" si="16"/>
        <v>0</v>
      </c>
      <c r="J177" s="87"/>
      <c r="K177" s="200"/>
      <c r="L177" s="98"/>
      <c r="M177" s="62"/>
      <c r="N177" s="97"/>
    </row>
    <row r="178" spans="1:14" s="23" customFormat="1" ht="18" customHeight="1">
      <c r="A178" s="13"/>
      <c r="B178" s="25"/>
      <c r="C178" s="18"/>
      <c r="D178" s="265" t="s">
        <v>498</v>
      </c>
      <c r="E178" s="262"/>
      <c r="F178" s="59"/>
      <c r="G178" s="174">
        <f t="shared" si="16"/>
        <v>12000000</v>
      </c>
      <c r="H178" s="37">
        <f t="shared" si="16"/>
        <v>12000000</v>
      </c>
      <c r="I178" s="37">
        <f t="shared" si="16"/>
        <v>0</v>
      </c>
      <c r="J178" s="88"/>
      <c r="K178" s="200"/>
      <c r="L178" s="98"/>
      <c r="M178" s="62"/>
      <c r="N178" s="97"/>
    </row>
    <row r="179" spans="1:14" s="23" customFormat="1" ht="18" customHeight="1">
      <c r="A179" s="13"/>
      <c r="B179" s="25"/>
      <c r="C179" s="18"/>
      <c r="D179" s="18"/>
      <c r="E179" s="16" t="s">
        <v>501</v>
      </c>
      <c r="F179" s="26" t="s">
        <v>512</v>
      </c>
      <c r="G179" s="167">
        <v>12000000</v>
      </c>
      <c r="H179" s="38">
        <v>12000000</v>
      </c>
      <c r="I179" s="22">
        <f t="shared" ref="I179" si="17">G179-H179</f>
        <v>0</v>
      </c>
      <c r="J179" s="149"/>
      <c r="K179" s="200"/>
      <c r="L179" s="98"/>
      <c r="M179" s="62"/>
      <c r="N179" s="97"/>
    </row>
    <row r="180" spans="1:14" s="23" customFormat="1" ht="18" customHeight="1">
      <c r="A180" s="13"/>
      <c r="B180" s="25"/>
      <c r="C180" s="248" t="s">
        <v>513</v>
      </c>
      <c r="D180" s="249"/>
      <c r="E180" s="249"/>
      <c r="F180" s="154"/>
      <c r="G180" s="178">
        <f t="shared" ref="G180:I181" si="18">G181</f>
        <v>6000000</v>
      </c>
      <c r="H180" s="36">
        <f t="shared" si="18"/>
        <v>6000000</v>
      </c>
      <c r="I180" s="36">
        <f t="shared" si="18"/>
        <v>0</v>
      </c>
      <c r="J180" s="87"/>
      <c r="K180" s="200"/>
      <c r="L180" s="98"/>
      <c r="M180" s="62"/>
      <c r="N180" s="97"/>
    </row>
    <row r="181" spans="1:14" s="23" customFormat="1" ht="18" customHeight="1">
      <c r="A181" s="13"/>
      <c r="B181" s="25"/>
      <c r="C181" s="18"/>
      <c r="D181" s="265" t="s">
        <v>498</v>
      </c>
      <c r="E181" s="262"/>
      <c r="F181" s="59"/>
      <c r="G181" s="174">
        <f t="shared" si="18"/>
        <v>6000000</v>
      </c>
      <c r="H181" s="37">
        <f t="shared" si="18"/>
        <v>6000000</v>
      </c>
      <c r="I181" s="37">
        <f t="shared" si="18"/>
        <v>0</v>
      </c>
      <c r="J181" s="88"/>
      <c r="K181" s="200"/>
      <c r="L181" s="98"/>
      <c r="M181" s="62"/>
      <c r="N181" s="97"/>
    </row>
    <row r="182" spans="1:14" s="23" customFormat="1" ht="18" customHeight="1">
      <c r="A182" s="13"/>
      <c r="B182" s="25"/>
      <c r="C182" s="18"/>
      <c r="D182" s="18"/>
      <c r="E182" s="16" t="s">
        <v>501</v>
      </c>
      <c r="F182" s="16" t="s">
        <v>514</v>
      </c>
      <c r="G182" s="157">
        <v>6000000</v>
      </c>
      <c r="H182" s="39">
        <v>6000000</v>
      </c>
      <c r="I182" s="22">
        <f t="shared" ref="I182" si="19">G182-H182</f>
        <v>0</v>
      </c>
      <c r="J182" s="148"/>
      <c r="K182" s="200"/>
      <c r="L182" s="98"/>
      <c r="M182" s="62"/>
      <c r="N182" s="97"/>
    </row>
    <row r="183" spans="1:14" s="23" customFormat="1" ht="18" customHeight="1">
      <c r="A183" s="13"/>
      <c r="B183" s="263" t="s">
        <v>515</v>
      </c>
      <c r="C183" s="264"/>
      <c r="D183" s="264"/>
      <c r="E183" s="264"/>
      <c r="F183" s="152"/>
      <c r="G183" s="177">
        <f>G184+G187+G198</f>
        <v>0</v>
      </c>
      <c r="H183" s="45">
        <f>H184+H187+H198</f>
        <v>879982000</v>
      </c>
      <c r="I183" s="45">
        <f>I184+I187+I198</f>
        <v>-879982000</v>
      </c>
      <c r="J183" s="86"/>
      <c r="K183" s="200"/>
      <c r="L183" s="98"/>
      <c r="M183" s="62"/>
      <c r="N183" s="97"/>
    </row>
    <row r="184" spans="1:14" s="23" customFormat="1" ht="18" customHeight="1">
      <c r="A184" s="13"/>
      <c r="B184" s="25"/>
      <c r="C184" s="248" t="s">
        <v>516</v>
      </c>
      <c r="D184" s="249"/>
      <c r="E184" s="249"/>
      <c r="F184" s="154"/>
      <c r="G184" s="178">
        <f t="shared" ref="G184:I185" si="20">G185</f>
        <v>0</v>
      </c>
      <c r="H184" s="36">
        <f t="shared" si="20"/>
        <v>29724000</v>
      </c>
      <c r="I184" s="36">
        <f t="shared" si="20"/>
        <v>-29724000</v>
      </c>
      <c r="J184" s="87"/>
      <c r="K184" s="200"/>
      <c r="L184" s="98"/>
      <c r="M184" s="62"/>
      <c r="N184" s="97"/>
    </row>
    <row r="185" spans="1:14" s="23" customFormat="1" ht="18" customHeight="1">
      <c r="A185" s="13"/>
      <c r="B185" s="25"/>
      <c r="C185" s="18"/>
      <c r="D185" s="265" t="s">
        <v>498</v>
      </c>
      <c r="E185" s="262"/>
      <c r="F185" s="59"/>
      <c r="G185" s="174">
        <f t="shared" si="20"/>
        <v>0</v>
      </c>
      <c r="H185" s="42">
        <f t="shared" si="20"/>
        <v>29724000</v>
      </c>
      <c r="I185" s="42">
        <f t="shared" si="20"/>
        <v>-29724000</v>
      </c>
      <c r="J185" s="149"/>
      <c r="K185" s="200"/>
      <c r="L185" s="98"/>
      <c r="M185" s="62"/>
      <c r="N185" s="97"/>
    </row>
    <row r="186" spans="1:14" s="23" customFormat="1" ht="18" customHeight="1">
      <c r="A186" s="13"/>
      <c r="B186" s="25"/>
      <c r="C186" s="18"/>
      <c r="D186" s="19"/>
      <c r="E186" s="26" t="s">
        <v>498</v>
      </c>
      <c r="F186" s="26" t="s">
        <v>641</v>
      </c>
      <c r="G186" s="167">
        <v>0</v>
      </c>
      <c r="H186" s="38">
        <v>29724000</v>
      </c>
      <c r="I186" s="22">
        <f t="shared" ref="I186" si="21">G186-H186</f>
        <v>-29724000</v>
      </c>
      <c r="J186" s="147" t="s">
        <v>431</v>
      </c>
      <c r="K186" s="200"/>
      <c r="L186" s="25"/>
      <c r="M186" s="62"/>
      <c r="N186" s="97"/>
    </row>
    <row r="187" spans="1:14" s="23" customFormat="1" ht="18" customHeight="1">
      <c r="A187" s="13"/>
      <c r="B187" s="25"/>
      <c r="C187" s="248" t="s">
        <v>517</v>
      </c>
      <c r="D187" s="249"/>
      <c r="E187" s="249"/>
      <c r="F187" s="154"/>
      <c r="G187" s="178">
        <f>G188</f>
        <v>0</v>
      </c>
      <c r="H187" s="36">
        <f>H188</f>
        <v>850082000</v>
      </c>
      <c r="I187" s="36">
        <f>I188</f>
        <v>-850082000</v>
      </c>
      <c r="J187" s="87"/>
      <c r="K187" s="200"/>
      <c r="L187" s="25"/>
      <c r="M187" s="62"/>
      <c r="N187" s="97"/>
    </row>
    <row r="188" spans="1:14" s="23" customFormat="1" ht="18" customHeight="1">
      <c r="A188" s="13"/>
      <c r="B188" s="25"/>
      <c r="C188" s="24"/>
      <c r="D188" s="265" t="s">
        <v>498</v>
      </c>
      <c r="E188" s="262"/>
      <c r="F188" s="59"/>
      <c r="G188" s="202">
        <f>SUM(G189:G197)</f>
        <v>0</v>
      </c>
      <c r="H188" s="42">
        <f>SUM(H189:H197)</f>
        <v>850082000</v>
      </c>
      <c r="I188" s="42">
        <f>SUM(I189:I197)</f>
        <v>-850082000</v>
      </c>
      <c r="J188" s="279" t="s">
        <v>431</v>
      </c>
      <c r="K188" s="200"/>
      <c r="L188" s="25"/>
      <c r="M188" s="62"/>
      <c r="N188" s="97"/>
    </row>
    <row r="189" spans="1:14" s="23" customFormat="1" ht="18" customHeight="1">
      <c r="A189" s="13"/>
      <c r="B189" s="25"/>
      <c r="C189" s="24"/>
      <c r="D189" s="25"/>
      <c r="E189" s="35" t="s">
        <v>518</v>
      </c>
      <c r="F189" s="26" t="s">
        <v>519</v>
      </c>
      <c r="G189" s="167">
        <v>0</v>
      </c>
      <c r="H189" s="27">
        <v>440423000</v>
      </c>
      <c r="I189" s="22">
        <f t="shared" ref="I189:I197" si="22">G189-H189</f>
        <v>-440423000</v>
      </c>
      <c r="J189" s="280"/>
      <c r="K189" s="200"/>
      <c r="L189" s="25"/>
      <c r="M189" s="62"/>
      <c r="N189" s="97"/>
    </row>
    <row r="190" spans="1:14" s="23" customFormat="1" ht="18" customHeight="1">
      <c r="A190" s="13"/>
      <c r="B190" s="25"/>
      <c r="C190" s="24"/>
      <c r="D190" s="25"/>
      <c r="E190" s="35" t="s">
        <v>518</v>
      </c>
      <c r="F190" s="26" t="s">
        <v>520</v>
      </c>
      <c r="G190" s="167">
        <v>0</v>
      </c>
      <c r="H190" s="27">
        <v>10973000</v>
      </c>
      <c r="I190" s="22">
        <f t="shared" si="22"/>
        <v>-10973000</v>
      </c>
      <c r="J190" s="280"/>
      <c r="K190" s="200"/>
      <c r="L190" s="25"/>
      <c r="M190" s="62"/>
      <c r="N190" s="97"/>
    </row>
    <row r="191" spans="1:14" s="23" customFormat="1" ht="18" customHeight="1">
      <c r="A191" s="13"/>
      <c r="B191" s="25"/>
      <c r="C191" s="24"/>
      <c r="D191" s="25"/>
      <c r="E191" s="35" t="s">
        <v>518</v>
      </c>
      <c r="F191" s="26" t="s">
        <v>521</v>
      </c>
      <c r="G191" s="167">
        <v>0</v>
      </c>
      <c r="H191" s="27">
        <v>242645000</v>
      </c>
      <c r="I191" s="22">
        <f t="shared" si="22"/>
        <v>-242645000</v>
      </c>
      <c r="J191" s="280"/>
      <c r="K191" s="200"/>
      <c r="L191" s="25"/>
      <c r="M191" s="62"/>
      <c r="N191" s="97"/>
    </row>
    <row r="192" spans="1:14" s="23" customFormat="1" ht="18" customHeight="1">
      <c r="A192" s="13"/>
      <c r="B192" s="25"/>
      <c r="C192" s="24"/>
      <c r="D192" s="25"/>
      <c r="E192" s="35" t="s">
        <v>518</v>
      </c>
      <c r="F192" s="26" t="s">
        <v>522</v>
      </c>
      <c r="G192" s="167">
        <v>0</v>
      </c>
      <c r="H192" s="27">
        <v>72590000</v>
      </c>
      <c r="I192" s="22">
        <f t="shared" si="22"/>
        <v>-72590000</v>
      </c>
      <c r="J192" s="280"/>
      <c r="K192" s="200"/>
      <c r="L192" s="25"/>
      <c r="M192" s="62"/>
      <c r="N192" s="97"/>
    </row>
    <row r="193" spans="1:14" s="23" customFormat="1" ht="18" customHeight="1">
      <c r="A193" s="13"/>
      <c r="B193" s="25"/>
      <c r="C193" s="24"/>
      <c r="D193" s="25"/>
      <c r="E193" s="35" t="s">
        <v>518</v>
      </c>
      <c r="F193" s="26" t="s">
        <v>523</v>
      </c>
      <c r="G193" s="167">
        <v>0</v>
      </c>
      <c r="H193" s="27">
        <v>57941000</v>
      </c>
      <c r="I193" s="22">
        <f t="shared" si="22"/>
        <v>-57941000</v>
      </c>
      <c r="J193" s="280"/>
      <c r="K193" s="200"/>
      <c r="L193" s="25"/>
      <c r="M193" s="62"/>
      <c r="N193" s="97"/>
    </row>
    <row r="194" spans="1:14" s="23" customFormat="1" ht="18" customHeight="1">
      <c r="A194" s="13"/>
      <c r="B194" s="25"/>
      <c r="C194" s="24"/>
      <c r="D194" s="25"/>
      <c r="E194" s="35" t="s">
        <v>518</v>
      </c>
      <c r="F194" s="26" t="s">
        <v>524</v>
      </c>
      <c r="G194" s="167">
        <v>0</v>
      </c>
      <c r="H194" s="27">
        <v>3943000</v>
      </c>
      <c r="I194" s="22">
        <f t="shared" si="22"/>
        <v>-3943000</v>
      </c>
      <c r="J194" s="280"/>
      <c r="K194" s="200"/>
      <c r="L194" s="25"/>
      <c r="M194" s="62"/>
      <c r="N194" s="97"/>
    </row>
    <row r="195" spans="1:14" s="23" customFormat="1" ht="18" customHeight="1">
      <c r="A195" s="13"/>
      <c r="B195" s="25"/>
      <c r="C195" s="24"/>
      <c r="D195" s="25"/>
      <c r="E195" s="35" t="s">
        <v>518</v>
      </c>
      <c r="F195" s="26" t="s">
        <v>525</v>
      </c>
      <c r="G195" s="167">
        <v>0</v>
      </c>
      <c r="H195" s="27">
        <v>2138000</v>
      </c>
      <c r="I195" s="22">
        <f t="shared" si="22"/>
        <v>-2138000</v>
      </c>
      <c r="J195" s="280"/>
      <c r="K195" s="200"/>
      <c r="L195" s="25"/>
      <c r="M195" s="62"/>
      <c r="N195" s="97"/>
    </row>
    <row r="196" spans="1:14" s="23" customFormat="1" ht="18" customHeight="1">
      <c r="A196" s="13"/>
      <c r="B196" s="25"/>
      <c r="C196" s="24"/>
      <c r="D196" s="25"/>
      <c r="E196" s="35" t="s">
        <v>518</v>
      </c>
      <c r="F196" s="26" t="s">
        <v>526</v>
      </c>
      <c r="G196" s="167">
        <v>0</v>
      </c>
      <c r="H196" s="27">
        <v>19224000</v>
      </c>
      <c r="I196" s="22">
        <f t="shared" si="22"/>
        <v>-19224000</v>
      </c>
      <c r="J196" s="280"/>
      <c r="K196" s="200"/>
      <c r="L196" s="25"/>
      <c r="M196" s="62"/>
      <c r="N196" s="97"/>
    </row>
    <row r="197" spans="1:14" s="23" customFormat="1" ht="18" customHeight="1">
      <c r="A197" s="13"/>
      <c r="B197" s="25"/>
      <c r="C197" s="18"/>
      <c r="D197" s="24"/>
      <c r="E197" s="35" t="s">
        <v>501</v>
      </c>
      <c r="F197" s="56" t="s">
        <v>527</v>
      </c>
      <c r="G197" s="167">
        <v>0</v>
      </c>
      <c r="H197" s="27">
        <v>205000</v>
      </c>
      <c r="I197" s="22">
        <f t="shared" si="22"/>
        <v>-205000</v>
      </c>
      <c r="J197" s="281"/>
      <c r="K197" s="200"/>
      <c r="L197" s="98"/>
      <c r="M197" s="62"/>
      <c r="N197" s="97"/>
    </row>
    <row r="198" spans="1:14" s="23" customFormat="1" ht="18" customHeight="1">
      <c r="A198" s="13"/>
      <c r="B198" s="25"/>
      <c r="C198" s="248" t="s">
        <v>528</v>
      </c>
      <c r="D198" s="249"/>
      <c r="E198" s="249"/>
      <c r="F198" s="154"/>
      <c r="G198" s="178">
        <f>G199</f>
        <v>0</v>
      </c>
      <c r="H198" s="36">
        <f>H199</f>
        <v>176000</v>
      </c>
      <c r="I198" s="36">
        <f>I199</f>
        <v>-176000</v>
      </c>
      <c r="J198" s="87"/>
      <c r="K198" s="200"/>
      <c r="L198" s="98"/>
      <c r="M198" s="62"/>
      <c r="N198" s="97"/>
    </row>
    <row r="199" spans="1:14" s="23" customFormat="1" ht="18" customHeight="1">
      <c r="A199" s="13"/>
      <c r="B199" s="25"/>
      <c r="C199" s="24"/>
      <c r="D199" s="265" t="s">
        <v>498</v>
      </c>
      <c r="E199" s="262"/>
      <c r="F199" s="59"/>
      <c r="G199" s="202">
        <f>SUM(G200)</f>
        <v>0</v>
      </c>
      <c r="H199" s="42">
        <f>SUM(H200)</f>
        <v>176000</v>
      </c>
      <c r="I199" s="42">
        <f>SUM(I200)</f>
        <v>-176000</v>
      </c>
      <c r="J199" s="149"/>
      <c r="K199" s="200"/>
      <c r="L199" s="98"/>
      <c r="M199" s="62"/>
      <c r="N199" s="97"/>
    </row>
    <row r="200" spans="1:14" s="23" customFormat="1" ht="18" customHeight="1">
      <c r="A200" s="13"/>
      <c r="B200" s="25"/>
      <c r="C200" s="24"/>
      <c r="D200" s="25"/>
      <c r="E200" s="35" t="s">
        <v>518</v>
      </c>
      <c r="F200" s="26" t="s">
        <v>529</v>
      </c>
      <c r="G200" s="167">
        <v>0</v>
      </c>
      <c r="H200" s="27">
        <v>176000</v>
      </c>
      <c r="I200" s="22">
        <f t="shared" ref="I200" si="23">G200-H200</f>
        <v>-176000</v>
      </c>
      <c r="J200" s="149" t="s">
        <v>431</v>
      </c>
      <c r="K200" s="200"/>
      <c r="L200" s="98"/>
      <c r="M200" s="62"/>
      <c r="N200" s="97"/>
    </row>
    <row r="201" spans="1:14" s="23" customFormat="1" ht="18" customHeight="1">
      <c r="A201" s="13"/>
      <c r="B201" s="263" t="s">
        <v>530</v>
      </c>
      <c r="C201" s="264"/>
      <c r="D201" s="264"/>
      <c r="E201" s="264"/>
      <c r="F201" s="152"/>
      <c r="G201" s="177">
        <f>G202</f>
        <v>120000000</v>
      </c>
      <c r="H201" s="45">
        <f t="shared" ref="G201:I202" si="24">H202</f>
        <v>151896000</v>
      </c>
      <c r="I201" s="45">
        <f t="shared" si="24"/>
        <v>-31896000</v>
      </c>
      <c r="J201" s="86"/>
      <c r="K201" s="200"/>
      <c r="L201" s="98"/>
      <c r="M201" s="62"/>
      <c r="N201" s="97"/>
    </row>
    <row r="202" spans="1:14" s="23" customFormat="1" ht="18" customHeight="1">
      <c r="A202" s="13"/>
      <c r="B202" s="25"/>
      <c r="C202" s="248" t="s">
        <v>531</v>
      </c>
      <c r="D202" s="249"/>
      <c r="E202" s="249"/>
      <c r="F202" s="154"/>
      <c r="G202" s="178">
        <f t="shared" si="24"/>
        <v>120000000</v>
      </c>
      <c r="H202" s="36">
        <f t="shared" si="24"/>
        <v>151896000</v>
      </c>
      <c r="I202" s="36">
        <f t="shared" si="24"/>
        <v>-31896000</v>
      </c>
      <c r="J202" s="87"/>
      <c r="K202" s="200"/>
      <c r="L202" s="98"/>
      <c r="M202" s="62"/>
      <c r="N202" s="97"/>
    </row>
    <row r="203" spans="1:14" s="23" customFormat="1" ht="18" customHeight="1">
      <c r="A203" s="13"/>
      <c r="B203" s="25"/>
      <c r="C203" s="18"/>
      <c r="D203" s="265" t="s">
        <v>498</v>
      </c>
      <c r="E203" s="262"/>
      <c r="F203" s="59"/>
      <c r="G203" s="202">
        <f>SUM(G204:G205)</f>
        <v>120000000</v>
      </c>
      <c r="H203" s="42">
        <f>SUM(H204:H205)</f>
        <v>151896000</v>
      </c>
      <c r="I203" s="42">
        <f>SUM(I204:I205)</f>
        <v>-31896000</v>
      </c>
      <c r="J203" s="149"/>
      <c r="K203" s="200"/>
      <c r="L203" s="98"/>
      <c r="M203" s="62"/>
      <c r="N203" s="97"/>
    </row>
    <row r="204" spans="1:14" s="23" customFormat="1" ht="18" customHeight="1">
      <c r="A204" s="13"/>
      <c r="B204" s="25"/>
      <c r="C204" s="18"/>
      <c r="D204" s="24"/>
      <c r="E204" s="26" t="s">
        <v>501</v>
      </c>
      <c r="F204" s="16" t="s">
        <v>532</v>
      </c>
      <c r="G204" s="157">
        <v>120000000</v>
      </c>
      <c r="H204" s="39">
        <v>120000000</v>
      </c>
      <c r="I204" s="22">
        <f t="shared" ref="I204:I205" si="25">G204-H204</f>
        <v>0</v>
      </c>
      <c r="J204" s="148"/>
      <c r="K204" s="200"/>
      <c r="L204" s="98"/>
      <c r="M204" s="62"/>
      <c r="N204" s="97"/>
    </row>
    <row r="205" spans="1:14" s="23" customFormat="1" ht="18" customHeight="1">
      <c r="A205" s="13"/>
      <c r="B205" s="25"/>
      <c r="C205" s="35"/>
      <c r="D205" s="35"/>
      <c r="E205" s="56" t="s">
        <v>501</v>
      </c>
      <c r="F205" s="28" t="s">
        <v>533</v>
      </c>
      <c r="G205" s="156">
        <v>0</v>
      </c>
      <c r="H205" s="21">
        <v>31896000</v>
      </c>
      <c r="I205" s="22">
        <f t="shared" si="25"/>
        <v>-31896000</v>
      </c>
      <c r="J205" s="88" t="s">
        <v>534</v>
      </c>
      <c r="K205" s="200"/>
      <c r="L205" s="98"/>
      <c r="M205" s="62"/>
      <c r="N205" s="97"/>
    </row>
    <row r="206" spans="1:14" s="23" customFormat="1" ht="18" customHeight="1">
      <c r="A206" s="13"/>
      <c r="B206" s="263" t="s">
        <v>535</v>
      </c>
      <c r="C206" s="264"/>
      <c r="D206" s="264"/>
      <c r="E206" s="264"/>
      <c r="F206" s="152"/>
      <c r="G206" s="177">
        <f>G210+G207+G213</f>
        <v>90430000</v>
      </c>
      <c r="H206" s="45">
        <f>H210+H207+H213</f>
        <v>91108000</v>
      </c>
      <c r="I206" s="45">
        <f>I210+I207+I213</f>
        <v>-678000</v>
      </c>
      <c r="J206" s="86"/>
      <c r="K206" s="200"/>
      <c r="L206" s="98"/>
      <c r="M206" s="62"/>
      <c r="N206" s="97"/>
    </row>
    <row r="207" spans="1:14" s="23" customFormat="1" ht="18" customHeight="1">
      <c r="A207" s="13"/>
      <c r="B207" s="25"/>
      <c r="C207" s="248" t="s">
        <v>536</v>
      </c>
      <c r="D207" s="249"/>
      <c r="E207" s="249"/>
      <c r="F207" s="154"/>
      <c r="G207" s="204">
        <f>G208</f>
        <v>24480000</v>
      </c>
      <c r="H207" s="50">
        <f>H208</f>
        <v>24746000</v>
      </c>
      <c r="I207" s="50">
        <f>I208</f>
        <v>-266000</v>
      </c>
      <c r="J207" s="91"/>
      <c r="K207" s="200"/>
      <c r="L207" s="98"/>
      <c r="M207" s="62"/>
      <c r="N207" s="97"/>
    </row>
    <row r="208" spans="1:14" s="23" customFormat="1" ht="18" customHeight="1">
      <c r="A208" s="13"/>
      <c r="B208" s="25"/>
      <c r="C208" s="18"/>
      <c r="D208" s="266" t="s">
        <v>498</v>
      </c>
      <c r="E208" s="267"/>
      <c r="F208" s="59"/>
      <c r="G208" s="174">
        <f>SUM(G209)</f>
        <v>24480000</v>
      </c>
      <c r="H208" s="37">
        <f>SUM(H209)</f>
        <v>24746000</v>
      </c>
      <c r="I208" s="37">
        <f>SUM(I209)</f>
        <v>-266000</v>
      </c>
      <c r="J208" s="88"/>
      <c r="K208" s="200"/>
      <c r="L208" s="98"/>
      <c r="M208" s="62"/>
      <c r="N208" s="97"/>
    </row>
    <row r="209" spans="1:14" s="23" customFormat="1" ht="18" customHeight="1">
      <c r="A209" s="13"/>
      <c r="B209" s="25"/>
      <c r="C209" s="18"/>
      <c r="D209" s="19"/>
      <c r="E209" s="20" t="s">
        <v>498</v>
      </c>
      <c r="F209" s="28" t="s">
        <v>537</v>
      </c>
      <c r="G209" s="156">
        <f>68000*360</f>
        <v>24480000</v>
      </c>
      <c r="H209" s="21">
        <v>24746000</v>
      </c>
      <c r="I209" s="22">
        <f t="shared" ref="I209" si="26">G209-H209</f>
        <v>-266000</v>
      </c>
      <c r="J209" s="88"/>
      <c r="K209" s="200"/>
      <c r="L209" s="98"/>
      <c r="M209" s="62"/>
      <c r="N209" s="97"/>
    </row>
    <row r="210" spans="1:14" s="23" customFormat="1" ht="18" customHeight="1">
      <c r="A210" s="13"/>
      <c r="B210" s="25"/>
      <c r="C210" s="248" t="s">
        <v>538</v>
      </c>
      <c r="D210" s="249"/>
      <c r="E210" s="249"/>
      <c r="F210" s="154"/>
      <c r="G210" s="155">
        <f>G211</f>
        <v>53950000</v>
      </c>
      <c r="H210" s="17">
        <f>H211</f>
        <v>54362000</v>
      </c>
      <c r="I210" s="17">
        <f>I211</f>
        <v>-412000</v>
      </c>
      <c r="J210" s="87"/>
      <c r="K210" s="200"/>
      <c r="L210" s="98"/>
      <c r="M210" s="62"/>
      <c r="N210" s="97"/>
    </row>
    <row r="211" spans="1:14" s="23" customFormat="1" ht="18" customHeight="1">
      <c r="A211" s="13"/>
      <c r="B211" s="25"/>
      <c r="C211" s="18"/>
      <c r="D211" s="266" t="s">
        <v>498</v>
      </c>
      <c r="E211" s="267"/>
      <c r="F211" s="59"/>
      <c r="G211" s="174">
        <f>SUM(G212)</f>
        <v>53950000</v>
      </c>
      <c r="H211" s="37">
        <f>SUM(H212)</f>
        <v>54362000</v>
      </c>
      <c r="I211" s="37">
        <f>SUM(I212)</f>
        <v>-412000</v>
      </c>
      <c r="J211" s="88"/>
      <c r="K211" s="200"/>
      <c r="L211" s="98"/>
      <c r="M211" s="62"/>
      <c r="N211" s="97"/>
    </row>
    <row r="212" spans="1:14" s="23" customFormat="1" ht="18" customHeight="1">
      <c r="A212" s="13"/>
      <c r="B212" s="25"/>
      <c r="C212" s="18"/>
      <c r="D212" s="19"/>
      <c r="E212" s="16" t="s">
        <v>498</v>
      </c>
      <c r="F212" s="28" t="s">
        <v>539</v>
      </c>
      <c r="G212" s="156">
        <f>50000*1079</f>
        <v>53950000</v>
      </c>
      <c r="H212" s="21">
        <v>54362000</v>
      </c>
      <c r="I212" s="22">
        <f t="shared" ref="I212" si="27">G212-H212</f>
        <v>-412000</v>
      </c>
      <c r="J212" s="88"/>
      <c r="K212" s="200"/>
      <c r="L212" s="98"/>
      <c r="M212" s="62"/>
      <c r="N212" s="97"/>
    </row>
    <row r="213" spans="1:14" s="23" customFormat="1" ht="18" customHeight="1">
      <c r="A213" s="13"/>
      <c r="B213" s="25"/>
      <c r="C213" s="248" t="s">
        <v>540</v>
      </c>
      <c r="D213" s="249"/>
      <c r="E213" s="249"/>
      <c r="F213" s="154"/>
      <c r="G213" s="178">
        <f>G214</f>
        <v>12000000</v>
      </c>
      <c r="H213" s="36">
        <f>H214</f>
        <v>12000000</v>
      </c>
      <c r="I213" s="36">
        <f>I214</f>
        <v>0</v>
      </c>
      <c r="J213" s="87"/>
      <c r="K213" s="200"/>
      <c r="L213" s="98"/>
      <c r="M213" s="62"/>
      <c r="N213" s="97"/>
    </row>
    <row r="214" spans="1:14" s="23" customFormat="1" ht="18" customHeight="1">
      <c r="A214" s="13"/>
      <c r="B214" s="25"/>
      <c r="C214" s="18"/>
      <c r="D214" s="266" t="s">
        <v>498</v>
      </c>
      <c r="E214" s="267"/>
      <c r="F214" s="59"/>
      <c r="G214" s="174">
        <f>SUM(G215)</f>
        <v>12000000</v>
      </c>
      <c r="H214" s="37">
        <f>SUM(H215)</f>
        <v>12000000</v>
      </c>
      <c r="I214" s="37">
        <f>SUM(I215)</f>
        <v>0</v>
      </c>
      <c r="J214" s="88"/>
      <c r="K214" s="200"/>
      <c r="L214" s="98"/>
      <c r="M214" s="62"/>
      <c r="N214" s="97"/>
    </row>
    <row r="215" spans="1:14" s="23" customFormat="1" ht="18" customHeight="1">
      <c r="A215" s="13"/>
      <c r="B215" s="25"/>
      <c r="C215" s="18"/>
      <c r="D215" s="19"/>
      <c r="E215" s="16" t="s">
        <v>501</v>
      </c>
      <c r="F215" s="28" t="s">
        <v>541</v>
      </c>
      <c r="G215" s="156">
        <v>12000000</v>
      </c>
      <c r="H215" s="21">
        <v>12000000</v>
      </c>
      <c r="I215" s="22">
        <f t="shared" ref="I215" si="28">G215-H215</f>
        <v>0</v>
      </c>
      <c r="J215" s="88"/>
      <c r="K215" s="200"/>
      <c r="L215" s="98"/>
      <c r="M215" s="62"/>
      <c r="N215" s="97"/>
    </row>
    <row r="216" spans="1:14" s="23" customFormat="1" ht="18" customHeight="1">
      <c r="A216" s="274" t="s">
        <v>542</v>
      </c>
      <c r="B216" s="275"/>
      <c r="C216" s="275"/>
      <c r="D216" s="275"/>
      <c r="E216" s="275"/>
      <c r="F216" s="183"/>
      <c r="G216" s="205">
        <f>G217+G249</f>
        <v>688763000</v>
      </c>
      <c r="H216" s="95">
        <f>H217+H249</f>
        <v>667482000</v>
      </c>
      <c r="I216" s="95">
        <f>I217+I249</f>
        <v>21281000</v>
      </c>
      <c r="J216" s="90"/>
      <c r="K216" s="200"/>
      <c r="L216" s="98"/>
      <c r="M216" s="62"/>
      <c r="N216" s="97"/>
    </row>
    <row r="217" spans="1:14" s="23" customFormat="1" ht="18" customHeight="1">
      <c r="A217" s="13"/>
      <c r="B217" s="263" t="s">
        <v>543</v>
      </c>
      <c r="C217" s="264"/>
      <c r="D217" s="264"/>
      <c r="E217" s="264"/>
      <c r="F217" s="206"/>
      <c r="G217" s="177">
        <f>G218+G223+G228+G231+G234+G239</f>
        <v>294700000</v>
      </c>
      <c r="H217" s="45">
        <f>H218+H223+H228+H231+H234+H239</f>
        <v>299015000</v>
      </c>
      <c r="I217" s="45">
        <f>I218+I223+I228+I231+I234+I239</f>
        <v>-4315000</v>
      </c>
      <c r="J217" s="92"/>
      <c r="K217" s="200"/>
      <c r="L217" s="98"/>
      <c r="M217" s="62"/>
      <c r="N217" s="97"/>
    </row>
    <row r="218" spans="1:14" s="23" customFormat="1" ht="18" customHeight="1">
      <c r="A218" s="13"/>
      <c r="B218" s="25"/>
      <c r="C218" s="248" t="s">
        <v>544</v>
      </c>
      <c r="D218" s="249"/>
      <c r="E218" s="249"/>
      <c r="F218" s="154"/>
      <c r="G218" s="155">
        <f>G219</f>
        <v>15500000</v>
      </c>
      <c r="H218" s="17">
        <f>H219</f>
        <v>15500000</v>
      </c>
      <c r="I218" s="17">
        <f>I219</f>
        <v>0</v>
      </c>
      <c r="J218" s="87"/>
      <c r="K218" s="200"/>
      <c r="L218" s="98"/>
      <c r="M218" s="62"/>
      <c r="N218" s="97"/>
    </row>
    <row r="219" spans="1:14" s="23" customFormat="1" ht="18" customHeight="1">
      <c r="A219" s="13"/>
      <c r="B219" s="25"/>
      <c r="C219" s="18"/>
      <c r="D219" s="265" t="s">
        <v>498</v>
      </c>
      <c r="E219" s="262"/>
      <c r="F219" s="59"/>
      <c r="G219" s="174">
        <f>SUM(G220:G222)</f>
        <v>15500000</v>
      </c>
      <c r="H219" s="37">
        <f>SUM(H220:H222)</f>
        <v>15500000</v>
      </c>
      <c r="I219" s="37">
        <f>SUM(I220:I222)</f>
        <v>0</v>
      </c>
      <c r="J219" s="88"/>
      <c r="K219" s="200"/>
      <c r="L219" s="98"/>
      <c r="M219" s="62"/>
      <c r="N219" s="97"/>
    </row>
    <row r="220" spans="1:14" s="23" customFormat="1" ht="18" customHeight="1">
      <c r="A220" s="13"/>
      <c r="B220" s="25"/>
      <c r="C220" s="18"/>
      <c r="D220" s="18"/>
      <c r="E220" s="26" t="s">
        <v>498</v>
      </c>
      <c r="F220" s="28" t="s">
        <v>545</v>
      </c>
      <c r="G220" s="156">
        <v>5000000</v>
      </c>
      <c r="H220" s="21">
        <v>5000000</v>
      </c>
      <c r="I220" s="22">
        <f t="shared" ref="I220:I222" si="29">G220-H220</f>
        <v>0</v>
      </c>
      <c r="J220" s="88"/>
      <c r="K220" s="200"/>
      <c r="L220" s="98"/>
      <c r="M220" s="62"/>
      <c r="N220" s="97"/>
    </row>
    <row r="221" spans="1:14" s="23" customFormat="1" ht="18" customHeight="1">
      <c r="A221" s="13"/>
      <c r="B221" s="25"/>
      <c r="C221" s="18"/>
      <c r="D221" s="24"/>
      <c r="E221" s="26" t="s">
        <v>498</v>
      </c>
      <c r="F221" s="28" t="s">
        <v>546</v>
      </c>
      <c r="G221" s="156">
        <v>5000000</v>
      </c>
      <c r="H221" s="21">
        <v>5000000</v>
      </c>
      <c r="I221" s="22">
        <f t="shared" si="29"/>
        <v>0</v>
      </c>
      <c r="J221" s="88"/>
      <c r="K221" s="200"/>
      <c r="L221" s="98"/>
      <c r="M221" s="62"/>
      <c r="N221" s="97"/>
    </row>
    <row r="222" spans="1:14" s="23" customFormat="1" ht="18" customHeight="1">
      <c r="A222" s="13"/>
      <c r="B222" s="25"/>
      <c r="C222" s="18"/>
      <c r="D222" s="24"/>
      <c r="E222" s="16" t="s">
        <v>498</v>
      </c>
      <c r="F222" s="28" t="s">
        <v>547</v>
      </c>
      <c r="G222" s="156">
        <v>5500000</v>
      </c>
      <c r="H222" s="21">
        <v>5500000</v>
      </c>
      <c r="I222" s="22">
        <f t="shared" si="29"/>
        <v>0</v>
      </c>
      <c r="J222" s="88"/>
      <c r="K222" s="200"/>
      <c r="L222" s="98"/>
      <c r="M222" s="62"/>
      <c r="N222" s="97"/>
    </row>
    <row r="223" spans="1:14" s="23" customFormat="1" ht="18" customHeight="1">
      <c r="A223" s="13"/>
      <c r="B223" s="25"/>
      <c r="C223" s="248" t="s">
        <v>548</v>
      </c>
      <c r="D223" s="249"/>
      <c r="E223" s="249"/>
      <c r="F223" s="154"/>
      <c r="G223" s="178">
        <f>G224</f>
        <v>7000000</v>
      </c>
      <c r="H223" s="36">
        <f>H224</f>
        <v>7000000</v>
      </c>
      <c r="I223" s="36">
        <f>I224</f>
        <v>0</v>
      </c>
      <c r="J223" s="87"/>
      <c r="K223" s="200"/>
      <c r="L223" s="98"/>
      <c r="M223" s="62"/>
      <c r="N223" s="97"/>
    </row>
    <row r="224" spans="1:14" s="23" customFormat="1" ht="18" customHeight="1">
      <c r="A224" s="13"/>
      <c r="B224" s="25"/>
      <c r="C224" s="18"/>
      <c r="D224" s="266" t="s">
        <v>498</v>
      </c>
      <c r="E224" s="267"/>
      <c r="F224" s="59"/>
      <c r="G224" s="174">
        <f>SUM(G225:G227)</f>
        <v>7000000</v>
      </c>
      <c r="H224" s="37">
        <f>SUM(H225:H227)</f>
        <v>7000000</v>
      </c>
      <c r="I224" s="37">
        <f>SUM(I225:I227)</f>
        <v>0</v>
      </c>
      <c r="J224" s="88"/>
      <c r="K224" s="200"/>
      <c r="L224" s="98"/>
      <c r="M224" s="62"/>
      <c r="N224" s="97"/>
    </row>
    <row r="225" spans="1:14" s="23" customFormat="1" ht="18" customHeight="1">
      <c r="A225" s="13"/>
      <c r="B225" s="25"/>
      <c r="C225" s="18"/>
      <c r="D225" s="19"/>
      <c r="E225" s="28" t="s">
        <v>498</v>
      </c>
      <c r="F225" s="28" t="s">
        <v>549</v>
      </c>
      <c r="G225" s="156">
        <f>1250000*4</f>
        <v>5000000</v>
      </c>
      <c r="H225" s="21">
        <v>5000000</v>
      </c>
      <c r="I225" s="22">
        <f t="shared" ref="I225:I227" si="30">G225-H225</f>
        <v>0</v>
      </c>
      <c r="J225" s="88"/>
      <c r="K225" s="200"/>
      <c r="L225" s="98"/>
      <c r="M225" s="62"/>
      <c r="N225" s="97"/>
    </row>
    <row r="226" spans="1:14" s="23" customFormat="1" ht="18" customHeight="1">
      <c r="A226" s="13"/>
      <c r="B226" s="25"/>
      <c r="C226" s="18"/>
      <c r="D226" s="24"/>
      <c r="E226" s="28" t="s">
        <v>498</v>
      </c>
      <c r="F226" s="28" t="s">
        <v>550</v>
      </c>
      <c r="G226" s="156">
        <f>1000000*2</f>
        <v>2000000</v>
      </c>
      <c r="H226" s="21">
        <f>1000000*2</f>
        <v>2000000</v>
      </c>
      <c r="I226" s="22">
        <f t="shared" si="30"/>
        <v>0</v>
      </c>
      <c r="J226" s="88"/>
      <c r="K226" s="200"/>
      <c r="L226" s="98"/>
      <c r="M226" s="62"/>
      <c r="N226" s="97"/>
    </row>
    <row r="227" spans="1:14" s="23" customFormat="1" ht="18" customHeight="1">
      <c r="A227" s="13"/>
      <c r="B227" s="25"/>
      <c r="C227" s="18"/>
      <c r="D227" s="24"/>
      <c r="E227" s="28" t="s">
        <v>551</v>
      </c>
      <c r="F227" s="28" t="s">
        <v>552</v>
      </c>
      <c r="G227" s="156">
        <v>0</v>
      </c>
      <c r="H227" s="21">
        <v>0</v>
      </c>
      <c r="I227" s="22">
        <f t="shared" si="30"/>
        <v>0</v>
      </c>
      <c r="J227" s="88"/>
      <c r="K227" s="200"/>
      <c r="L227" s="98"/>
      <c r="M227" s="62"/>
      <c r="N227" s="97"/>
    </row>
    <row r="228" spans="1:14" s="23" customFormat="1" ht="18" customHeight="1">
      <c r="A228" s="13"/>
      <c r="B228" s="25"/>
      <c r="C228" s="248" t="s">
        <v>553</v>
      </c>
      <c r="D228" s="249"/>
      <c r="E228" s="249"/>
      <c r="F228" s="154"/>
      <c r="G228" s="178">
        <f>G229</f>
        <v>2000000</v>
      </c>
      <c r="H228" s="36">
        <f>H229</f>
        <v>2000000</v>
      </c>
      <c r="I228" s="36">
        <f>I229</f>
        <v>0</v>
      </c>
      <c r="J228" s="87"/>
      <c r="K228" s="200"/>
      <c r="L228" s="98"/>
      <c r="M228" s="62"/>
      <c r="N228" s="97"/>
    </row>
    <row r="229" spans="1:14" s="23" customFormat="1" ht="18" customHeight="1">
      <c r="A229" s="13"/>
      <c r="B229" s="25"/>
      <c r="C229" s="18"/>
      <c r="D229" s="266" t="s">
        <v>498</v>
      </c>
      <c r="E229" s="267"/>
      <c r="F229" s="59"/>
      <c r="G229" s="174">
        <f>SUM(G230)</f>
        <v>2000000</v>
      </c>
      <c r="H229" s="37">
        <f>SUM(H230)</f>
        <v>2000000</v>
      </c>
      <c r="I229" s="37">
        <f>SUM(I230)</f>
        <v>0</v>
      </c>
      <c r="J229" s="88"/>
      <c r="K229" s="200"/>
      <c r="L229" s="98"/>
      <c r="M229" s="62"/>
      <c r="N229" s="97"/>
    </row>
    <row r="230" spans="1:14" s="23" customFormat="1" ht="18" customHeight="1">
      <c r="A230" s="13"/>
      <c r="B230" s="25"/>
      <c r="C230" s="18"/>
      <c r="D230" s="20"/>
      <c r="E230" s="28" t="s">
        <v>498</v>
      </c>
      <c r="F230" s="28" t="s">
        <v>657</v>
      </c>
      <c r="G230" s="156">
        <f>1000000*2</f>
        <v>2000000</v>
      </c>
      <c r="H230" s="21">
        <f>1000000*2</f>
        <v>2000000</v>
      </c>
      <c r="I230" s="22">
        <f t="shared" ref="I230" si="31">G230-H230</f>
        <v>0</v>
      </c>
      <c r="J230" s="88"/>
      <c r="K230" s="200"/>
      <c r="L230" s="115"/>
      <c r="M230" s="62"/>
      <c r="N230" s="97"/>
    </row>
    <row r="231" spans="1:14" s="23" customFormat="1" ht="18" customHeight="1">
      <c r="A231" s="13"/>
      <c r="B231" s="25"/>
      <c r="C231" s="248" t="s">
        <v>554</v>
      </c>
      <c r="D231" s="249"/>
      <c r="E231" s="249"/>
      <c r="F231" s="154"/>
      <c r="G231" s="178">
        <f>G232</f>
        <v>2000000</v>
      </c>
      <c r="H231" s="36">
        <f>H232</f>
        <v>2000000</v>
      </c>
      <c r="I231" s="36">
        <f>I232</f>
        <v>0</v>
      </c>
      <c r="J231" s="87"/>
      <c r="K231" s="200"/>
      <c r="L231" s="115"/>
      <c r="M231" s="62"/>
      <c r="N231" s="97"/>
    </row>
    <row r="232" spans="1:14" s="23" customFormat="1" ht="18" customHeight="1">
      <c r="A232" s="13"/>
      <c r="B232" s="25"/>
      <c r="C232" s="18"/>
      <c r="D232" s="266" t="s">
        <v>97</v>
      </c>
      <c r="E232" s="267"/>
      <c r="F232" s="59"/>
      <c r="G232" s="156">
        <f>SUM(G233:G233)</f>
        <v>2000000</v>
      </c>
      <c r="H232" s="21">
        <f>SUM(H233:H233)</f>
        <v>2000000</v>
      </c>
      <c r="I232" s="21">
        <f>SUM(I233:I233)</f>
        <v>0</v>
      </c>
      <c r="J232" s="88"/>
      <c r="K232" s="200"/>
      <c r="L232" s="115"/>
      <c r="M232" s="62"/>
      <c r="N232" s="97"/>
    </row>
    <row r="233" spans="1:14" s="23" customFormat="1" ht="18" customHeight="1">
      <c r="A233" s="13"/>
      <c r="B233" s="25"/>
      <c r="C233" s="18"/>
      <c r="D233" s="20"/>
      <c r="E233" s="28" t="s">
        <v>97</v>
      </c>
      <c r="F233" s="28" t="s">
        <v>163</v>
      </c>
      <c r="G233" s="156">
        <f>1000000*2</f>
        <v>2000000</v>
      </c>
      <c r="H233" s="21">
        <f>1000000*2</f>
        <v>2000000</v>
      </c>
      <c r="I233" s="22">
        <f t="shared" ref="I233" si="32">G233-H233</f>
        <v>0</v>
      </c>
      <c r="J233" s="88"/>
      <c r="K233" s="200"/>
      <c r="L233" s="115"/>
      <c r="M233" s="62"/>
      <c r="N233" s="97"/>
    </row>
    <row r="234" spans="1:14" s="23" customFormat="1" ht="18" customHeight="1">
      <c r="A234" s="13"/>
      <c r="B234" s="25"/>
      <c r="C234" s="248" t="s">
        <v>90</v>
      </c>
      <c r="D234" s="249"/>
      <c r="E234" s="249"/>
      <c r="F234" s="154"/>
      <c r="G234" s="178">
        <f>G235+G237</f>
        <v>260000000</v>
      </c>
      <c r="H234" s="36">
        <f>H235+H237</f>
        <v>263315000</v>
      </c>
      <c r="I234" s="36">
        <f>I235+I237</f>
        <v>-3315000</v>
      </c>
      <c r="J234" s="87"/>
      <c r="K234" s="200"/>
      <c r="L234" s="115"/>
      <c r="M234" s="62"/>
      <c r="N234" s="97"/>
    </row>
    <row r="235" spans="1:14" s="23" customFormat="1" ht="18" customHeight="1">
      <c r="A235" s="13"/>
      <c r="B235" s="25"/>
      <c r="C235" s="18"/>
      <c r="D235" s="265" t="s">
        <v>96</v>
      </c>
      <c r="E235" s="262"/>
      <c r="F235" s="59"/>
      <c r="G235" s="156">
        <f>SUM(G236)</f>
        <v>250000000</v>
      </c>
      <c r="H235" s="21">
        <f>SUM(H236)</f>
        <v>253315000</v>
      </c>
      <c r="I235" s="21">
        <f>SUM(I236)</f>
        <v>-3315000</v>
      </c>
      <c r="J235" s="88"/>
      <c r="K235" s="200"/>
      <c r="L235" s="98"/>
      <c r="M235" s="62"/>
      <c r="N235" s="97"/>
    </row>
    <row r="236" spans="1:14" s="23" customFormat="1" ht="18" customHeight="1">
      <c r="A236" s="13"/>
      <c r="B236" s="25"/>
      <c r="C236" s="18"/>
      <c r="D236" s="94"/>
      <c r="E236" s="57" t="s">
        <v>98</v>
      </c>
      <c r="F236" s="28" t="s">
        <v>76</v>
      </c>
      <c r="G236" s="174">
        <v>250000000</v>
      </c>
      <c r="H236" s="37">
        <f>221952000+17196000+9988000+3922000+257000</f>
        <v>253315000</v>
      </c>
      <c r="I236" s="22">
        <f t="shared" ref="I236:I238" si="33">G236-H236</f>
        <v>-3315000</v>
      </c>
      <c r="J236" s="88"/>
      <c r="K236" s="200"/>
      <c r="L236" s="98"/>
      <c r="M236" s="62"/>
      <c r="N236" s="97"/>
    </row>
    <row r="237" spans="1:14" s="23" customFormat="1" ht="18" customHeight="1">
      <c r="A237" s="13"/>
      <c r="B237" s="25"/>
      <c r="C237" s="18"/>
      <c r="D237" s="265" t="s">
        <v>146</v>
      </c>
      <c r="E237" s="262"/>
      <c r="F237" s="59"/>
      <c r="G237" s="174">
        <f>SUM(G238)</f>
        <v>10000000</v>
      </c>
      <c r="H237" s="37">
        <f>SUM(H238)</f>
        <v>10000000</v>
      </c>
      <c r="I237" s="37">
        <f>SUM(I238)</f>
        <v>0</v>
      </c>
      <c r="J237" s="88"/>
      <c r="K237" s="200"/>
      <c r="L237" s="98"/>
      <c r="M237" s="62"/>
      <c r="N237" s="97"/>
    </row>
    <row r="238" spans="1:14" s="23" customFormat="1" ht="18" customHeight="1">
      <c r="A238" s="13"/>
      <c r="B238" s="25"/>
      <c r="C238" s="18"/>
      <c r="D238" s="18"/>
      <c r="E238" s="26" t="s">
        <v>147</v>
      </c>
      <c r="F238" s="28" t="s">
        <v>150</v>
      </c>
      <c r="G238" s="156">
        <v>10000000</v>
      </c>
      <c r="H238" s="21">
        <v>10000000</v>
      </c>
      <c r="I238" s="22">
        <f t="shared" si="33"/>
        <v>0</v>
      </c>
      <c r="J238" s="88"/>
      <c r="K238" s="200"/>
      <c r="L238" s="98"/>
      <c r="M238" s="62"/>
      <c r="N238" s="97"/>
    </row>
    <row r="239" spans="1:14" s="23" customFormat="1" ht="18" customHeight="1">
      <c r="A239" s="13"/>
      <c r="B239" s="25"/>
      <c r="C239" s="248" t="s">
        <v>89</v>
      </c>
      <c r="D239" s="249"/>
      <c r="E239" s="249"/>
      <c r="F239" s="154"/>
      <c r="G239" s="155">
        <f>G240</f>
        <v>8200000</v>
      </c>
      <c r="H239" s="17">
        <f>H240</f>
        <v>9200000</v>
      </c>
      <c r="I239" s="17">
        <f>I240</f>
        <v>-1000000</v>
      </c>
      <c r="J239" s="87"/>
      <c r="K239" s="200"/>
      <c r="L239" s="98"/>
      <c r="M239" s="62"/>
      <c r="N239" s="97"/>
    </row>
    <row r="240" spans="1:14" s="23" customFormat="1" ht="18" customHeight="1">
      <c r="A240" s="13"/>
      <c r="B240" s="25"/>
      <c r="C240" s="18"/>
      <c r="D240" s="265" t="s">
        <v>97</v>
      </c>
      <c r="E240" s="262"/>
      <c r="F240" s="59"/>
      <c r="G240" s="156">
        <f>SUM(G241:G248)</f>
        <v>8200000</v>
      </c>
      <c r="H240" s="21">
        <f>SUM(H241:H248)</f>
        <v>9200000</v>
      </c>
      <c r="I240" s="21">
        <f>SUM(I241:I248)</f>
        <v>-1000000</v>
      </c>
      <c r="J240" s="88"/>
      <c r="K240" s="200"/>
      <c r="L240" s="98"/>
      <c r="M240" s="62"/>
      <c r="N240" s="97"/>
    </row>
    <row r="241" spans="1:14" s="23" customFormat="1" ht="18" customHeight="1">
      <c r="A241" s="13"/>
      <c r="B241" s="25"/>
      <c r="C241" s="18"/>
      <c r="D241" s="19"/>
      <c r="E241" s="26" t="s">
        <v>97</v>
      </c>
      <c r="F241" s="28" t="s">
        <v>82</v>
      </c>
      <c r="G241" s="156">
        <v>1000000</v>
      </c>
      <c r="H241" s="21">
        <v>2000000</v>
      </c>
      <c r="I241" s="22">
        <f t="shared" ref="I241:I248" si="34">G241-H241</f>
        <v>-1000000</v>
      </c>
      <c r="J241" s="88"/>
      <c r="K241" s="200"/>
      <c r="L241" s="98"/>
      <c r="M241" s="62"/>
      <c r="N241" s="97"/>
    </row>
    <row r="242" spans="1:14" s="23" customFormat="1" ht="18" customHeight="1">
      <c r="A242" s="13"/>
      <c r="B242" s="25"/>
      <c r="C242" s="18"/>
      <c r="D242" s="24"/>
      <c r="E242" s="26" t="s">
        <v>97</v>
      </c>
      <c r="F242" s="28" t="s">
        <v>81</v>
      </c>
      <c r="G242" s="156">
        <f>100000*8</f>
        <v>800000</v>
      </c>
      <c r="H242" s="21">
        <v>800000</v>
      </c>
      <c r="I242" s="22">
        <f t="shared" si="34"/>
        <v>0</v>
      </c>
      <c r="J242" s="88"/>
      <c r="K242" s="200"/>
      <c r="L242" s="98"/>
      <c r="M242" s="62"/>
      <c r="N242" s="97"/>
    </row>
    <row r="243" spans="1:14" s="23" customFormat="1" ht="18" customHeight="1">
      <c r="A243" s="13"/>
      <c r="B243" s="25"/>
      <c r="C243" s="18"/>
      <c r="D243" s="24"/>
      <c r="E243" s="26" t="s">
        <v>97</v>
      </c>
      <c r="F243" s="28" t="s">
        <v>80</v>
      </c>
      <c r="G243" s="156">
        <f>100000*15</f>
        <v>1500000</v>
      </c>
      <c r="H243" s="21">
        <v>1500000</v>
      </c>
      <c r="I243" s="22">
        <f t="shared" si="34"/>
        <v>0</v>
      </c>
      <c r="J243" s="88"/>
      <c r="K243" s="200"/>
      <c r="L243" s="98"/>
      <c r="M243" s="62"/>
      <c r="N243" s="97"/>
    </row>
    <row r="244" spans="1:14" s="23" customFormat="1" ht="18" customHeight="1">
      <c r="A244" s="13"/>
      <c r="B244" s="25"/>
      <c r="C244" s="18"/>
      <c r="D244" s="24"/>
      <c r="E244" s="26" t="s">
        <v>97</v>
      </c>
      <c r="F244" s="28" t="s">
        <v>79</v>
      </c>
      <c r="G244" s="156">
        <f>100000*10</f>
        <v>1000000</v>
      </c>
      <c r="H244" s="21">
        <v>1000000</v>
      </c>
      <c r="I244" s="22">
        <f t="shared" si="34"/>
        <v>0</v>
      </c>
      <c r="J244" s="88"/>
      <c r="K244" s="200"/>
      <c r="L244" s="98"/>
      <c r="M244" s="62"/>
      <c r="N244" s="97"/>
    </row>
    <row r="245" spans="1:14" s="23" customFormat="1" ht="18" customHeight="1">
      <c r="A245" s="13"/>
      <c r="B245" s="25"/>
      <c r="C245" s="18"/>
      <c r="D245" s="24"/>
      <c r="E245" s="26" t="s">
        <v>97</v>
      </c>
      <c r="F245" s="28" t="s">
        <v>78</v>
      </c>
      <c r="G245" s="156">
        <f>100000*13</f>
        <v>1300000</v>
      </c>
      <c r="H245" s="21">
        <v>1300000</v>
      </c>
      <c r="I245" s="22">
        <f t="shared" si="34"/>
        <v>0</v>
      </c>
      <c r="J245" s="88"/>
      <c r="K245" s="200"/>
      <c r="L245" s="98"/>
      <c r="M245" s="62"/>
      <c r="N245" s="97"/>
    </row>
    <row r="246" spans="1:14" s="23" customFormat="1" ht="18" customHeight="1">
      <c r="A246" s="13"/>
      <c r="B246" s="25"/>
      <c r="C246" s="18"/>
      <c r="D246" s="24"/>
      <c r="E246" s="26" t="s">
        <v>97</v>
      </c>
      <c r="F246" s="28" t="s">
        <v>12</v>
      </c>
      <c r="G246" s="156">
        <f>100000*13</f>
        <v>1300000</v>
      </c>
      <c r="H246" s="21">
        <v>1300000</v>
      </c>
      <c r="I246" s="22">
        <f t="shared" si="34"/>
        <v>0</v>
      </c>
      <c r="J246" s="88"/>
      <c r="K246" s="200"/>
      <c r="L246" s="98"/>
      <c r="M246" s="62"/>
      <c r="N246" s="97"/>
    </row>
    <row r="247" spans="1:14" s="23" customFormat="1" ht="18" customHeight="1">
      <c r="A247" s="13"/>
      <c r="B247" s="25"/>
      <c r="C247" s="18"/>
      <c r="D247" s="24"/>
      <c r="E247" s="26" t="s">
        <v>97</v>
      </c>
      <c r="F247" s="28" t="s">
        <v>13</v>
      </c>
      <c r="G247" s="156">
        <f>100000*8</f>
        <v>800000</v>
      </c>
      <c r="H247" s="21">
        <v>800000</v>
      </c>
      <c r="I247" s="22">
        <f t="shared" si="34"/>
        <v>0</v>
      </c>
      <c r="J247" s="88"/>
      <c r="K247" s="200"/>
      <c r="L247" s="98"/>
      <c r="M247" s="62"/>
      <c r="N247" s="97"/>
    </row>
    <row r="248" spans="1:14" s="23" customFormat="1" ht="18" customHeight="1">
      <c r="A248" s="13"/>
      <c r="B248" s="25"/>
      <c r="C248" s="18"/>
      <c r="D248" s="24"/>
      <c r="E248" s="26" t="s">
        <v>97</v>
      </c>
      <c r="F248" s="28" t="s">
        <v>77</v>
      </c>
      <c r="G248" s="156">
        <f>100000*5</f>
        <v>500000</v>
      </c>
      <c r="H248" s="21">
        <v>500000</v>
      </c>
      <c r="I248" s="22">
        <f t="shared" si="34"/>
        <v>0</v>
      </c>
      <c r="J248" s="88"/>
      <c r="K248" s="200"/>
      <c r="L248" s="98"/>
      <c r="M248" s="62"/>
      <c r="N248" s="97"/>
    </row>
    <row r="249" spans="1:14" s="23" customFormat="1" ht="18" customHeight="1">
      <c r="A249" s="13"/>
      <c r="B249" s="263" t="s">
        <v>134</v>
      </c>
      <c r="C249" s="264"/>
      <c r="D249" s="264"/>
      <c r="E249" s="264"/>
      <c r="F249" s="152"/>
      <c r="G249" s="177">
        <f>G250+G262+G268</f>
        <v>394063000</v>
      </c>
      <c r="H249" s="45">
        <f>H250+H262+H268</f>
        <v>368467000</v>
      </c>
      <c r="I249" s="45">
        <f>I250+I262+I268</f>
        <v>25596000</v>
      </c>
      <c r="J249" s="86"/>
      <c r="K249" s="200"/>
      <c r="L249" s="98"/>
      <c r="M249" s="62"/>
      <c r="N249" s="97"/>
    </row>
    <row r="250" spans="1:14" s="23" customFormat="1" ht="18" customHeight="1">
      <c r="A250" s="13"/>
      <c r="B250" s="25"/>
      <c r="C250" s="248" t="s">
        <v>135</v>
      </c>
      <c r="D250" s="249"/>
      <c r="E250" s="249"/>
      <c r="F250" s="186"/>
      <c r="G250" s="178">
        <f>G251+G259</f>
        <v>340005000</v>
      </c>
      <c r="H250" s="36">
        <f>H251+H259</f>
        <v>310099000</v>
      </c>
      <c r="I250" s="36">
        <f>I251+I259</f>
        <v>29906000</v>
      </c>
      <c r="J250" s="87"/>
      <c r="K250" s="200"/>
      <c r="L250" s="98"/>
      <c r="M250" s="62"/>
      <c r="N250" s="97"/>
    </row>
    <row r="251" spans="1:14" s="23" customFormat="1" ht="18" customHeight="1">
      <c r="A251" s="13"/>
      <c r="B251" s="25"/>
      <c r="C251" s="94"/>
      <c r="D251" s="265" t="s">
        <v>97</v>
      </c>
      <c r="E251" s="262"/>
      <c r="F251" s="59"/>
      <c r="G251" s="174">
        <f>SUM(G252:G258)</f>
        <v>332905000</v>
      </c>
      <c r="H251" s="37">
        <f>SUM(H252:H258)</f>
        <v>302999000</v>
      </c>
      <c r="I251" s="37">
        <f>SUM(I252:I258)</f>
        <v>29906000</v>
      </c>
      <c r="J251" s="88"/>
      <c r="K251" s="200"/>
      <c r="L251" s="98"/>
      <c r="M251" s="62"/>
      <c r="N251" s="97"/>
    </row>
    <row r="252" spans="1:14" s="23" customFormat="1" ht="18" customHeight="1">
      <c r="A252" s="13"/>
      <c r="B252" s="25"/>
      <c r="C252" s="18"/>
      <c r="D252" s="49"/>
      <c r="E252" s="26" t="s">
        <v>97</v>
      </c>
      <c r="F252" s="28" t="s">
        <v>99</v>
      </c>
      <c r="G252" s="156">
        <v>2000000</v>
      </c>
      <c r="H252" s="21">
        <v>2000000</v>
      </c>
      <c r="I252" s="22">
        <f t="shared" ref="I252:I261" si="35">G252-H252</f>
        <v>0</v>
      </c>
      <c r="J252" s="88"/>
      <c r="K252" s="200"/>
      <c r="L252" s="98"/>
      <c r="M252" s="62"/>
      <c r="N252" s="97"/>
    </row>
    <row r="253" spans="1:14" s="23" customFormat="1" ht="18" customHeight="1">
      <c r="A253" s="13"/>
      <c r="B253" s="25"/>
      <c r="C253" s="18"/>
      <c r="D253" s="18"/>
      <c r="E253" s="26" t="s">
        <v>97</v>
      </c>
      <c r="F253" s="28" t="s">
        <v>100</v>
      </c>
      <c r="G253" s="156">
        <v>1500000</v>
      </c>
      <c r="H253" s="21">
        <v>1500000</v>
      </c>
      <c r="I253" s="22">
        <f t="shared" si="35"/>
        <v>0</v>
      </c>
      <c r="J253" s="88"/>
      <c r="K253" s="200"/>
      <c r="L253" s="98"/>
      <c r="M253" s="62"/>
      <c r="N253" s="97"/>
    </row>
    <row r="254" spans="1:14" s="23" customFormat="1" ht="18" customHeight="1">
      <c r="A254" s="13"/>
      <c r="B254" s="25"/>
      <c r="C254" s="18"/>
      <c r="D254" s="24"/>
      <c r="E254" s="26" t="s">
        <v>97</v>
      </c>
      <c r="F254" s="28" t="s">
        <v>1</v>
      </c>
      <c r="G254" s="156">
        <f>500000*355</f>
        <v>177500000</v>
      </c>
      <c r="H254" s="21">
        <v>157906000</v>
      </c>
      <c r="I254" s="22">
        <f t="shared" si="35"/>
        <v>19594000</v>
      </c>
      <c r="J254" s="88"/>
      <c r="K254" s="200"/>
      <c r="L254" s="98"/>
      <c r="M254" s="62"/>
      <c r="N254" s="97"/>
    </row>
    <row r="255" spans="1:14" s="23" customFormat="1" ht="18" customHeight="1">
      <c r="A255" s="13"/>
      <c r="B255" s="25"/>
      <c r="C255" s="18"/>
      <c r="D255" s="24"/>
      <c r="E255" s="26" t="s">
        <v>97</v>
      </c>
      <c r="F255" s="28" t="s">
        <v>180</v>
      </c>
      <c r="G255" s="156">
        <f>55000*355</f>
        <v>19525000</v>
      </c>
      <c r="H255" s="21">
        <v>17850000</v>
      </c>
      <c r="I255" s="22">
        <f t="shared" si="35"/>
        <v>1675000</v>
      </c>
      <c r="J255" s="88"/>
      <c r="K255" s="200"/>
      <c r="L255" s="98"/>
      <c r="M255" s="62"/>
      <c r="N255" s="97"/>
    </row>
    <row r="256" spans="1:14" s="23" customFormat="1" ht="18" customHeight="1">
      <c r="A256" s="13"/>
      <c r="B256" s="25"/>
      <c r="C256" s="18"/>
      <c r="D256" s="24"/>
      <c r="E256" s="26" t="s">
        <v>97</v>
      </c>
      <c r="F256" s="28" t="s">
        <v>179</v>
      </c>
      <c r="G256" s="156">
        <f>75000*364</f>
        <v>27300000</v>
      </c>
      <c r="H256" s="21">
        <v>25410000</v>
      </c>
      <c r="I256" s="22">
        <f t="shared" si="35"/>
        <v>1890000</v>
      </c>
      <c r="J256" s="88"/>
      <c r="K256" s="200"/>
      <c r="L256" s="98"/>
      <c r="M256" s="62"/>
      <c r="N256" s="97"/>
    </row>
    <row r="257" spans="1:14" s="23" customFormat="1" ht="18" customHeight="1">
      <c r="A257" s="13"/>
      <c r="B257" s="25"/>
      <c r="C257" s="18"/>
      <c r="D257" s="24"/>
      <c r="E257" s="26" t="s">
        <v>97</v>
      </c>
      <c r="F257" s="28" t="s">
        <v>661</v>
      </c>
      <c r="G257" s="156">
        <f>220000*364</f>
        <v>80080000</v>
      </c>
      <c r="H257" s="21">
        <v>73333000</v>
      </c>
      <c r="I257" s="22">
        <f t="shared" si="35"/>
        <v>6747000</v>
      </c>
      <c r="J257" s="88"/>
      <c r="K257" s="200"/>
      <c r="L257" s="98"/>
      <c r="M257" s="62"/>
      <c r="N257" s="97"/>
    </row>
    <row r="258" spans="1:14" s="23" customFormat="1" ht="18" customHeight="1">
      <c r="A258" s="13"/>
      <c r="B258" s="25"/>
      <c r="C258" s="18"/>
      <c r="D258" s="35"/>
      <c r="E258" s="16" t="s">
        <v>149</v>
      </c>
      <c r="F258" s="28" t="s">
        <v>158</v>
      </c>
      <c r="G258" s="156">
        <v>25000000</v>
      </c>
      <c r="H258" s="21">
        <v>25000000</v>
      </c>
      <c r="I258" s="22">
        <f t="shared" si="35"/>
        <v>0</v>
      </c>
      <c r="J258" s="88"/>
      <c r="K258" s="200"/>
      <c r="L258" s="98"/>
      <c r="M258" s="62"/>
      <c r="N258" s="97"/>
    </row>
    <row r="259" spans="1:14" s="23" customFormat="1" ht="18" customHeight="1">
      <c r="A259" s="13"/>
      <c r="B259" s="25"/>
      <c r="C259" s="18"/>
      <c r="D259" s="266" t="s">
        <v>146</v>
      </c>
      <c r="E259" s="262"/>
      <c r="F259" s="59"/>
      <c r="G259" s="156">
        <f>SUM(G260:G261)</f>
        <v>7100000</v>
      </c>
      <c r="H259" s="21">
        <f>SUM(H260:H261)</f>
        <v>7100000</v>
      </c>
      <c r="I259" s="22">
        <f t="shared" si="35"/>
        <v>0</v>
      </c>
      <c r="J259" s="88"/>
      <c r="K259" s="200"/>
      <c r="L259" s="98"/>
      <c r="M259" s="62"/>
      <c r="N259" s="97"/>
    </row>
    <row r="260" spans="1:14" s="23" customFormat="1" ht="18" customHeight="1">
      <c r="A260" s="13"/>
      <c r="B260" s="25"/>
      <c r="C260" s="18"/>
      <c r="D260" s="18"/>
      <c r="E260" s="16" t="s">
        <v>147</v>
      </c>
      <c r="F260" s="28" t="s">
        <v>555</v>
      </c>
      <c r="G260" s="156">
        <v>6000000</v>
      </c>
      <c r="H260" s="21">
        <v>6000000</v>
      </c>
      <c r="I260" s="22">
        <f t="shared" si="35"/>
        <v>0</v>
      </c>
      <c r="J260" s="88"/>
      <c r="K260" s="200"/>
      <c r="L260" s="98"/>
      <c r="M260" s="62"/>
      <c r="N260" s="97"/>
    </row>
    <row r="261" spans="1:14" s="23" customFormat="1" ht="18" customHeight="1">
      <c r="A261" s="13"/>
      <c r="B261" s="25"/>
      <c r="C261" s="18"/>
      <c r="D261" s="18"/>
      <c r="E261" s="16" t="s">
        <v>147</v>
      </c>
      <c r="F261" s="28" t="s">
        <v>556</v>
      </c>
      <c r="G261" s="156">
        <v>1100000</v>
      </c>
      <c r="H261" s="21">
        <v>1100000</v>
      </c>
      <c r="I261" s="22">
        <f t="shared" si="35"/>
        <v>0</v>
      </c>
      <c r="J261" s="88"/>
      <c r="K261" s="200"/>
      <c r="L261" s="98"/>
      <c r="M261" s="62"/>
      <c r="N261" s="97"/>
    </row>
    <row r="262" spans="1:14" s="23" customFormat="1" ht="18" customHeight="1">
      <c r="A262" s="13"/>
      <c r="B262" s="25"/>
      <c r="C262" s="248" t="s">
        <v>136</v>
      </c>
      <c r="D262" s="249"/>
      <c r="E262" s="249"/>
      <c r="F262" s="154"/>
      <c r="G262" s="178">
        <f>G263</f>
        <v>30000000</v>
      </c>
      <c r="H262" s="36">
        <f>H263</f>
        <v>29860000</v>
      </c>
      <c r="I262" s="36">
        <f>I263</f>
        <v>140000</v>
      </c>
      <c r="J262" s="87"/>
      <c r="K262" s="200"/>
      <c r="L262" s="98"/>
      <c r="M262" s="62"/>
      <c r="N262" s="97"/>
    </row>
    <row r="263" spans="1:14" s="23" customFormat="1" ht="18" customHeight="1">
      <c r="A263" s="13"/>
      <c r="B263" s="25"/>
      <c r="C263" s="18"/>
      <c r="D263" s="266" t="s">
        <v>97</v>
      </c>
      <c r="E263" s="267"/>
      <c r="F263" s="59"/>
      <c r="G263" s="174">
        <f>SUM(G264:G267)</f>
        <v>30000000</v>
      </c>
      <c r="H263" s="37">
        <f>SUM(H264:H267)</f>
        <v>29860000</v>
      </c>
      <c r="I263" s="37">
        <f>SUM(I264:I267)</f>
        <v>140000</v>
      </c>
      <c r="J263" s="88"/>
      <c r="K263" s="200"/>
      <c r="L263" s="98"/>
      <c r="M263" s="62"/>
      <c r="N263" s="97"/>
    </row>
    <row r="264" spans="1:14" s="23" customFormat="1" ht="18" customHeight="1">
      <c r="A264" s="13"/>
      <c r="B264" s="25"/>
      <c r="C264" s="18"/>
      <c r="D264" s="19"/>
      <c r="E264" s="28" t="s">
        <v>149</v>
      </c>
      <c r="F264" s="28" t="s">
        <v>75</v>
      </c>
      <c r="G264" s="156">
        <f>(10000*100*13)</f>
        <v>13000000</v>
      </c>
      <c r="H264" s="21">
        <v>13160000</v>
      </c>
      <c r="I264" s="22">
        <f t="shared" ref="I264:I267" si="36">G264-H264</f>
        <v>-160000</v>
      </c>
      <c r="J264" s="88"/>
      <c r="K264" s="200"/>
      <c r="L264" s="98"/>
      <c r="M264" s="62"/>
      <c r="N264" s="97"/>
    </row>
    <row r="265" spans="1:14" s="23" customFormat="1" ht="18" customHeight="1">
      <c r="A265" s="13"/>
      <c r="B265" s="25"/>
      <c r="C265" s="18"/>
      <c r="D265" s="24"/>
      <c r="E265" s="28" t="s">
        <v>149</v>
      </c>
      <c r="F265" s="28" t="s">
        <v>101</v>
      </c>
      <c r="G265" s="156">
        <f>4000000*2+1000000+2000000+1000000</f>
        <v>12000000</v>
      </c>
      <c r="H265" s="21">
        <v>11000000</v>
      </c>
      <c r="I265" s="22">
        <f t="shared" si="36"/>
        <v>1000000</v>
      </c>
      <c r="J265" s="88"/>
      <c r="K265" s="200"/>
      <c r="L265" s="98"/>
      <c r="M265" s="62"/>
      <c r="N265" s="97"/>
    </row>
    <row r="266" spans="1:14" s="23" customFormat="1" ht="18" customHeight="1">
      <c r="A266" s="217"/>
      <c r="B266" s="216"/>
      <c r="C266" s="215"/>
      <c r="D266" s="215"/>
      <c r="E266" s="28" t="s">
        <v>680</v>
      </c>
      <c r="F266" s="28" t="s">
        <v>681</v>
      </c>
      <c r="G266" s="156">
        <f>1079*3000*0.5+81500</f>
        <v>1700000</v>
      </c>
      <c r="H266" s="21">
        <v>0</v>
      </c>
      <c r="I266" s="22">
        <f t="shared" si="36"/>
        <v>1700000</v>
      </c>
      <c r="J266" s="88"/>
      <c r="K266" s="200"/>
      <c r="L266" s="98"/>
      <c r="M266" s="62"/>
      <c r="N266" s="97"/>
    </row>
    <row r="267" spans="1:14" s="23" customFormat="1" ht="18" customHeight="1">
      <c r="A267" s="13"/>
      <c r="B267" s="25"/>
      <c r="C267" s="18"/>
      <c r="D267" s="18"/>
      <c r="E267" s="28" t="s">
        <v>149</v>
      </c>
      <c r="F267" s="28" t="s">
        <v>102</v>
      </c>
      <c r="G267" s="156">
        <f>5000000-1700000</f>
        <v>3300000</v>
      </c>
      <c r="H267" s="21">
        <v>5700000</v>
      </c>
      <c r="I267" s="22">
        <f t="shared" si="36"/>
        <v>-2400000</v>
      </c>
      <c r="J267" s="88"/>
      <c r="K267" s="200"/>
      <c r="L267" s="98"/>
      <c r="M267" s="62"/>
      <c r="N267" s="97"/>
    </row>
    <row r="268" spans="1:14" s="23" customFormat="1" ht="18" customHeight="1">
      <c r="A268" s="13"/>
      <c r="B268" s="25"/>
      <c r="C268" s="248" t="s">
        <v>137</v>
      </c>
      <c r="D268" s="249"/>
      <c r="E268" s="249"/>
      <c r="F268" s="154"/>
      <c r="G268" s="178">
        <f>G269</f>
        <v>24058000</v>
      </c>
      <c r="H268" s="36">
        <f>H269</f>
        <v>28508000</v>
      </c>
      <c r="I268" s="36">
        <f>I269</f>
        <v>-4450000</v>
      </c>
      <c r="J268" s="87"/>
      <c r="K268" s="200"/>
      <c r="L268" s="98"/>
      <c r="M268" s="62"/>
      <c r="N268" s="97"/>
    </row>
    <row r="269" spans="1:14" s="23" customFormat="1" ht="18" customHeight="1">
      <c r="A269" s="13"/>
      <c r="B269" s="25"/>
      <c r="C269" s="18"/>
      <c r="D269" s="265" t="s">
        <v>84</v>
      </c>
      <c r="E269" s="262"/>
      <c r="F269" s="59"/>
      <c r="G269" s="174">
        <f>SUM(G270:G277)</f>
        <v>24058000</v>
      </c>
      <c r="H269" s="37">
        <f>SUM(H270:H277)</f>
        <v>28508000</v>
      </c>
      <c r="I269" s="37">
        <f>SUM(I270:I277)</f>
        <v>-4450000</v>
      </c>
      <c r="J269" s="88"/>
      <c r="K269" s="200"/>
      <c r="L269" s="98"/>
      <c r="M269" s="62"/>
      <c r="N269" s="97"/>
    </row>
    <row r="270" spans="1:14" s="23" customFormat="1" ht="18" customHeight="1">
      <c r="A270" s="13"/>
      <c r="B270" s="25"/>
      <c r="C270" s="18"/>
      <c r="D270" s="19"/>
      <c r="E270" s="16" t="s">
        <v>97</v>
      </c>
      <c r="F270" s="28" t="s">
        <v>103</v>
      </c>
      <c r="G270" s="156">
        <v>8058000</v>
      </c>
      <c r="H270" s="21">
        <v>8058000</v>
      </c>
      <c r="I270" s="22">
        <f t="shared" ref="I270:I277" si="37">G270-H270</f>
        <v>0</v>
      </c>
      <c r="J270" s="88"/>
      <c r="K270" s="200"/>
      <c r="L270" s="98"/>
      <c r="M270" s="62"/>
      <c r="N270" s="97"/>
    </row>
    <row r="271" spans="1:14" s="23" customFormat="1" ht="18" customHeight="1">
      <c r="A271" s="15"/>
      <c r="B271" s="24"/>
      <c r="C271" s="25"/>
      <c r="D271" s="24"/>
      <c r="E271" s="20" t="s">
        <v>151</v>
      </c>
      <c r="F271" s="28" t="s">
        <v>106</v>
      </c>
      <c r="G271" s="156">
        <v>10000000</v>
      </c>
      <c r="H271" s="21">
        <v>10000000</v>
      </c>
      <c r="I271" s="22">
        <f t="shared" si="37"/>
        <v>0</v>
      </c>
      <c r="J271" s="88"/>
      <c r="K271" s="200"/>
      <c r="L271" s="98"/>
      <c r="M271" s="62"/>
      <c r="N271" s="97"/>
    </row>
    <row r="272" spans="1:14" s="23" customFormat="1" ht="18" customHeight="1">
      <c r="A272" s="15"/>
      <c r="B272" s="24"/>
      <c r="C272" s="25"/>
      <c r="D272" s="24"/>
      <c r="E272" s="26" t="s">
        <v>151</v>
      </c>
      <c r="F272" s="28" t="s">
        <v>107</v>
      </c>
      <c r="G272" s="156">
        <f>(3000*300*2)+200000</f>
        <v>2000000</v>
      </c>
      <c r="H272" s="21">
        <v>2000000</v>
      </c>
      <c r="I272" s="22">
        <f t="shared" si="37"/>
        <v>0</v>
      </c>
      <c r="J272" s="88"/>
      <c r="K272" s="200"/>
      <c r="L272" s="98"/>
      <c r="M272" s="62"/>
      <c r="N272" s="97"/>
    </row>
    <row r="273" spans="1:14" s="23" customFormat="1" ht="18" customHeight="1">
      <c r="A273" s="15"/>
      <c r="B273" s="24"/>
      <c r="C273" s="25"/>
      <c r="D273" s="24"/>
      <c r="E273" s="26" t="s">
        <v>151</v>
      </c>
      <c r="F273" s="28" t="s">
        <v>157</v>
      </c>
      <c r="G273" s="156">
        <v>1000000</v>
      </c>
      <c r="H273" s="21">
        <v>3500000</v>
      </c>
      <c r="I273" s="22">
        <f t="shared" si="37"/>
        <v>-2500000</v>
      </c>
      <c r="J273" s="88"/>
      <c r="K273" s="200"/>
      <c r="L273" s="98"/>
      <c r="M273" s="62"/>
      <c r="N273" s="97"/>
    </row>
    <row r="274" spans="1:14" s="23" customFormat="1" ht="18" customHeight="1">
      <c r="A274" s="15"/>
      <c r="B274" s="24"/>
      <c r="C274" s="25"/>
      <c r="D274" s="24"/>
      <c r="E274" s="26" t="s">
        <v>151</v>
      </c>
      <c r="F274" s="28" t="s">
        <v>68</v>
      </c>
      <c r="G274" s="156">
        <v>1500000</v>
      </c>
      <c r="H274" s="21">
        <v>1500000</v>
      </c>
      <c r="I274" s="22">
        <v>0</v>
      </c>
      <c r="J274" s="88"/>
      <c r="K274" s="200"/>
      <c r="L274" s="98"/>
      <c r="M274" s="62"/>
      <c r="N274" s="97"/>
    </row>
    <row r="275" spans="1:14" s="23" customFormat="1" ht="18" customHeight="1">
      <c r="A275" s="13"/>
      <c r="B275" s="25"/>
      <c r="C275" s="18"/>
      <c r="D275" s="24"/>
      <c r="E275" s="16" t="s">
        <v>97</v>
      </c>
      <c r="F275" s="28" t="s">
        <v>69</v>
      </c>
      <c r="G275" s="156">
        <f>10000*100</f>
        <v>1000000</v>
      </c>
      <c r="H275" s="21">
        <v>1000000</v>
      </c>
      <c r="I275" s="22">
        <f t="shared" si="37"/>
        <v>0</v>
      </c>
      <c r="J275" s="88"/>
      <c r="K275" s="200"/>
      <c r="L275" s="98"/>
      <c r="M275" s="62"/>
      <c r="N275" s="97"/>
    </row>
    <row r="276" spans="1:14" s="23" customFormat="1" ht="18" customHeight="1">
      <c r="A276" s="13"/>
      <c r="B276" s="25"/>
      <c r="C276" s="18"/>
      <c r="D276" s="24"/>
      <c r="E276" s="20" t="s">
        <v>97</v>
      </c>
      <c r="F276" s="28" t="s">
        <v>67</v>
      </c>
      <c r="G276" s="156">
        <v>500000</v>
      </c>
      <c r="H276" s="21">
        <v>500000</v>
      </c>
      <c r="I276" s="22">
        <f t="shared" si="37"/>
        <v>0</v>
      </c>
      <c r="J276" s="88"/>
      <c r="K276" s="200"/>
      <c r="L276" s="98"/>
      <c r="M276" s="62"/>
      <c r="N276" s="97"/>
    </row>
    <row r="277" spans="1:14" s="23" customFormat="1" ht="18" customHeight="1">
      <c r="A277" s="15"/>
      <c r="B277" s="35"/>
      <c r="C277" s="35"/>
      <c r="D277" s="35"/>
      <c r="E277" s="20" t="s">
        <v>97</v>
      </c>
      <c r="F277" s="59" t="s">
        <v>557</v>
      </c>
      <c r="G277" s="156">
        <v>0</v>
      </c>
      <c r="H277" s="21">
        <v>1950000</v>
      </c>
      <c r="I277" s="22">
        <f t="shared" si="37"/>
        <v>-1950000</v>
      </c>
      <c r="J277" s="88" t="s">
        <v>176</v>
      </c>
      <c r="K277" s="200"/>
      <c r="L277" s="98"/>
      <c r="M277" s="62"/>
      <c r="N277" s="97"/>
    </row>
    <row r="278" spans="1:14" s="23" customFormat="1" ht="18" customHeight="1">
      <c r="A278" s="274" t="s">
        <v>17</v>
      </c>
      <c r="B278" s="275"/>
      <c r="C278" s="275"/>
      <c r="D278" s="275"/>
      <c r="E278" s="275"/>
      <c r="F278" s="183"/>
      <c r="G278" s="184">
        <f>G279+G292+G300+G317</f>
        <v>1548199000</v>
      </c>
      <c r="H278" s="48">
        <f>H279+H292+H300+H317</f>
        <v>1563127000</v>
      </c>
      <c r="I278" s="48">
        <f>I279+I292+I300+I317</f>
        <v>-14928000</v>
      </c>
      <c r="J278" s="90"/>
      <c r="K278" s="200"/>
      <c r="L278" s="98"/>
      <c r="M278" s="62"/>
      <c r="N278" s="97"/>
    </row>
    <row r="279" spans="1:14" s="23" customFormat="1" ht="18" customHeight="1">
      <c r="A279" s="13"/>
      <c r="B279" s="263" t="s">
        <v>74</v>
      </c>
      <c r="C279" s="264"/>
      <c r="D279" s="264"/>
      <c r="E279" s="264"/>
      <c r="F279" s="152"/>
      <c r="G279" s="153">
        <f>G280</f>
        <v>1225027000</v>
      </c>
      <c r="H279" s="14">
        <f>H280</f>
        <v>1245332000</v>
      </c>
      <c r="I279" s="14">
        <f>I280</f>
        <v>-20305000</v>
      </c>
      <c r="J279" s="86"/>
      <c r="K279" s="200"/>
      <c r="L279" s="98"/>
      <c r="M279" s="62"/>
      <c r="N279" s="97"/>
    </row>
    <row r="280" spans="1:14" s="23" customFormat="1" ht="18" customHeight="1">
      <c r="A280" s="13"/>
      <c r="B280" s="25"/>
      <c r="C280" s="248" t="s">
        <v>558</v>
      </c>
      <c r="D280" s="249"/>
      <c r="E280" s="249"/>
      <c r="F280" s="154"/>
      <c r="G280" s="155">
        <f>G281+G287</f>
        <v>1225027000</v>
      </c>
      <c r="H280" s="17">
        <f>H281+H287</f>
        <v>1245332000</v>
      </c>
      <c r="I280" s="17">
        <f>I281+I287</f>
        <v>-20305000</v>
      </c>
      <c r="J280" s="87"/>
      <c r="K280" s="200"/>
      <c r="L280" s="98"/>
      <c r="M280" s="62"/>
      <c r="N280" s="97"/>
    </row>
    <row r="281" spans="1:14" s="23" customFormat="1" ht="18" customHeight="1">
      <c r="A281" s="13"/>
      <c r="B281" s="25"/>
      <c r="C281" s="18"/>
      <c r="D281" s="266" t="s">
        <v>559</v>
      </c>
      <c r="E281" s="267"/>
      <c r="F281" s="59"/>
      <c r="G281" s="156">
        <f>SUM(G282:G286)</f>
        <v>1212027000</v>
      </c>
      <c r="H281" s="21">
        <f>SUM(H282:H286)</f>
        <v>1232332000</v>
      </c>
      <c r="I281" s="21">
        <f>SUM(I282:I286)</f>
        <v>-20305000</v>
      </c>
      <c r="J281" s="88"/>
      <c r="K281" s="200"/>
      <c r="L281" s="98"/>
      <c r="M281" s="62"/>
      <c r="N281" s="97"/>
    </row>
    <row r="282" spans="1:14" s="23" customFormat="1" ht="18" customHeight="1">
      <c r="A282" s="13"/>
      <c r="B282" s="25"/>
      <c r="C282" s="18"/>
      <c r="D282" s="19"/>
      <c r="E282" s="16" t="s">
        <v>560</v>
      </c>
      <c r="F282" s="28" t="s">
        <v>561</v>
      </c>
      <c r="G282" s="156">
        <f>802332000-20305000</f>
        <v>782027000</v>
      </c>
      <c r="H282" s="21">
        <v>802332000</v>
      </c>
      <c r="I282" s="22">
        <f t="shared" ref="I282:I291" si="38">G282-H282</f>
        <v>-20305000</v>
      </c>
      <c r="J282" s="88"/>
      <c r="K282" s="200"/>
      <c r="L282" s="98"/>
      <c r="M282" s="62"/>
      <c r="N282" s="97"/>
    </row>
    <row r="283" spans="1:14" s="23" customFormat="1" ht="18" customHeight="1">
      <c r="A283" s="13"/>
      <c r="B283" s="25"/>
      <c r="C283" s="18"/>
      <c r="D283" s="24"/>
      <c r="E283" s="16" t="s">
        <v>560</v>
      </c>
      <c r="F283" s="28" t="s">
        <v>562</v>
      </c>
      <c r="G283" s="156">
        <v>80000000</v>
      </c>
      <c r="H283" s="21">
        <v>80000000</v>
      </c>
      <c r="I283" s="22">
        <f t="shared" si="38"/>
        <v>0</v>
      </c>
      <c r="J283" s="88"/>
      <c r="K283" s="200"/>
      <c r="L283" s="98"/>
      <c r="M283" s="62"/>
      <c r="N283" s="97"/>
    </row>
    <row r="284" spans="1:14" s="23" customFormat="1" ht="18" customHeight="1">
      <c r="A284" s="13"/>
      <c r="B284" s="25"/>
      <c r="C284" s="18"/>
      <c r="D284" s="24"/>
      <c r="E284" s="16" t="s">
        <v>560</v>
      </c>
      <c r="F284" s="28" t="s">
        <v>563</v>
      </c>
      <c r="G284" s="156">
        <v>60000000</v>
      </c>
      <c r="H284" s="21">
        <v>60000000</v>
      </c>
      <c r="I284" s="22">
        <f t="shared" si="38"/>
        <v>0</v>
      </c>
      <c r="J284" s="88"/>
      <c r="K284" s="200"/>
      <c r="L284" s="98"/>
      <c r="M284" s="62"/>
      <c r="N284" s="97"/>
    </row>
    <row r="285" spans="1:14" s="23" customFormat="1" ht="18" customHeight="1">
      <c r="A285" s="13"/>
      <c r="B285" s="25"/>
      <c r="C285" s="18"/>
      <c r="D285" s="24"/>
      <c r="E285" s="28" t="s">
        <v>560</v>
      </c>
      <c r="F285" s="28" t="s">
        <v>564</v>
      </c>
      <c r="G285" s="156">
        <v>250000000</v>
      </c>
      <c r="H285" s="21">
        <v>250000000</v>
      </c>
      <c r="I285" s="22">
        <f t="shared" si="38"/>
        <v>0</v>
      </c>
      <c r="J285" s="88"/>
      <c r="K285" s="200"/>
      <c r="L285" s="98"/>
      <c r="M285" s="62"/>
      <c r="N285" s="97"/>
    </row>
    <row r="286" spans="1:14" s="51" customFormat="1" ht="18" customHeight="1">
      <c r="A286" s="52"/>
      <c r="B286" s="53"/>
      <c r="C286" s="54"/>
      <c r="D286" s="123"/>
      <c r="E286" s="26" t="s">
        <v>565</v>
      </c>
      <c r="F286" s="26" t="s">
        <v>565</v>
      </c>
      <c r="G286" s="156">
        <v>40000000</v>
      </c>
      <c r="H286" s="21">
        <v>40000000</v>
      </c>
      <c r="I286" s="22">
        <f t="shared" si="38"/>
        <v>0</v>
      </c>
      <c r="J286" s="88"/>
      <c r="K286" s="200"/>
      <c r="L286" s="98"/>
      <c r="M286" s="62"/>
      <c r="N286" s="97"/>
    </row>
    <row r="287" spans="1:14" s="51" customFormat="1" ht="18" customHeight="1">
      <c r="A287" s="52"/>
      <c r="B287" s="53"/>
      <c r="C287" s="54"/>
      <c r="D287" s="266" t="s">
        <v>566</v>
      </c>
      <c r="E287" s="267"/>
      <c r="F287" s="59"/>
      <c r="G287" s="156">
        <f>SUM(G288:G291)</f>
        <v>13000000</v>
      </c>
      <c r="H287" s="21">
        <f>SUM(H288:H291)</f>
        <v>13000000</v>
      </c>
      <c r="I287" s="21">
        <f>SUM(I288:I291)</f>
        <v>0</v>
      </c>
      <c r="J287" s="88"/>
      <c r="K287" s="200"/>
      <c r="L287" s="98"/>
      <c r="M287" s="62"/>
      <c r="N287" s="97"/>
    </row>
    <row r="288" spans="1:14" s="51" customFormat="1" ht="18" customHeight="1">
      <c r="A288" s="13"/>
      <c r="B288" s="25"/>
      <c r="C288" s="18"/>
      <c r="D288" s="18"/>
      <c r="E288" s="26" t="s">
        <v>566</v>
      </c>
      <c r="F288" s="28" t="s">
        <v>567</v>
      </c>
      <c r="G288" s="156">
        <v>3000000</v>
      </c>
      <c r="H288" s="21">
        <v>3000000</v>
      </c>
      <c r="I288" s="22">
        <f t="shared" si="38"/>
        <v>0</v>
      </c>
      <c r="J288" s="88"/>
      <c r="K288" s="200"/>
      <c r="L288" s="98"/>
      <c r="M288" s="62"/>
      <c r="N288" s="97"/>
    </row>
    <row r="289" spans="1:16" s="23" customFormat="1" ht="18" customHeight="1">
      <c r="A289" s="13"/>
      <c r="B289" s="25"/>
      <c r="C289" s="18"/>
      <c r="D289" s="18"/>
      <c r="E289" s="26" t="s">
        <v>566</v>
      </c>
      <c r="F289" s="28" t="s">
        <v>568</v>
      </c>
      <c r="G289" s="156">
        <v>1000000</v>
      </c>
      <c r="H289" s="21">
        <v>1000000</v>
      </c>
      <c r="I289" s="22">
        <f t="shared" si="38"/>
        <v>0</v>
      </c>
      <c r="J289" s="88"/>
      <c r="K289" s="200"/>
      <c r="L289" s="98"/>
      <c r="M289" s="62"/>
      <c r="N289" s="97"/>
    </row>
    <row r="290" spans="1:16" s="23" customFormat="1" ht="18" customHeight="1">
      <c r="A290" s="13"/>
      <c r="B290" s="25"/>
      <c r="C290" s="18"/>
      <c r="D290" s="24"/>
      <c r="E290" s="26" t="s">
        <v>566</v>
      </c>
      <c r="F290" s="28" t="s">
        <v>569</v>
      </c>
      <c r="G290" s="156">
        <v>5000000</v>
      </c>
      <c r="H290" s="21">
        <v>5000000</v>
      </c>
      <c r="I290" s="22">
        <f t="shared" si="38"/>
        <v>0</v>
      </c>
      <c r="J290" s="88"/>
      <c r="K290" s="200"/>
      <c r="L290" s="98"/>
      <c r="M290" s="62"/>
      <c r="N290" s="97"/>
    </row>
    <row r="291" spans="1:16" ht="18" customHeight="1">
      <c r="A291" s="13"/>
      <c r="B291" s="25"/>
      <c r="C291" s="18"/>
      <c r="D291" s="24"/>
      <c r="E291" s="26" t="s">
        <v>566</v>
      </c>
      <c r="F291" s="28" t="s">
        <v>570</v>
      </c>
      <c r="G291" s="156">
        <v>4000000</v>
      </c>
      <c r="H291" s="21">
        <v>4000000</v>
      </c>
      <c r="I291" s="22">
        <f t="shared" si="38"/>
        <v>0</v>
      </c>
      <c r="J291" s="88" t="s">
        <v>571</v>
      </c>
      <c r="K291" s="200"/>
      <c r="N291" s="97"/>
      <c r="P291" s="6"/>
    </row>
    <row r="292" spans="1:16" s="23" customFormat="1" ht="18" customHeight="1">
      <c r="A292" s="13"/>
      <c r="B292" s="263" t="s">
        <v>18</v>
      </c>
      <c r="C292" s="264"/>
      <c r="D292" s="264"/>
      <c r="E292" s="264"/>
      <c r="F292" s="152"/>
      <c r="G292" s="153">
        <f>G293</f>
        <v>41500000</v>
      </c>
      <c r="H292" s="14">
        <f t="shared" ref="G292:I293" si="39">H293</f>
        <v>41500000</v>
      </c>
      <c r="I292" s="14">
        <f t="shared" si="39"/>
        <v>0</v>
      </c>
      <c r="J292" s="86"/>
      <c r="K292" s="200"/>
      <c r="L292" s="98"/>
      <c r="M292" s="62"/>
      <c r="N292" s="97"/>
    </row>
    <row r="293" spans="1:16" s="23" customFormat="1" ht="18" customHeight="1">
      <c r="A293" s="13"/>
      <c r="B293" s="25"/>
      <c r="C293" s="270" t="s">
        <v>572</v>
      </c>
      <c r="D293" s="271"/>
      <c r="E293" s="271"/>
      <c r="F293" s="154"/>
      <c r="G293" s="155">
        <f t="shared" si="39"/>
        <v>41500000</v>
      </c>
      <c r="H293" s="17">
        <f t="shared" si="39"/>
        <v>41500000</v>
      </c>
      <c r="I293" s="17">
        <f t="shared" si="39"/>
        <v>0</v>
      </c>
      <c r="J293" s="87"/>
      <c r="K293" s="200"/>
      <c r="L293" s="98"/>
      <c r="M293" s="62"/>
      <c r="N293" s="97"/>
    </row>
    <row r="294" spans="1:16" s="23" customFormat="1" ht="18" customHeight="1">
      <c r="A294" s="13"/>
      <c r="B294" s="25"/>
      <c r="C294" s="18"/>
      <c r="D294" s="265" t="s">
        <v>559</v>
      </c>
      <c r="E294" s="262"/>
      <c r="F294" s="59"/>
      <c r="G294" s="156">
        <f>SUM(G295:G299)</f>
        <v>41500000</v>
      </c>
      <c r="H294" s="21">
        <f>SUM(H295:H299)</f>
        <v>41500000</v>
      </c>
      <c r="I294" s="21">
        <f>SUM(I295:I299)</f>
        <v>0</v>
      </c>
      <c r="J294" s="88"/>
      <c r="K294" s="200"/>
      <c r="L294" s="98"/>
      <c r="M294" s="62"/>
      <c r="N294" s="97"/>
    </row>
    <row r="295" spans="1:16" s="23" customFormat="1" ht="18" customHeight="1">
      <c r="A295" s="13"/>
      <c r="B295" s="25"/>
      <c r="C295" s="18"/>
      <c r="D295" s="18"/>
      <c r="E295" s="26" t="s">
        <v>573</v>
      </c>
      <c r="F295" s="28" t="s">
        <v>574</v>
      </c>
      <c r="G295" s="156">
        <v>1000000</v>
      </c>
      <c r="H295" s="21">
        <v>1000000</v>
      </c>
      <c r="I295" s="22">
        <f t="shared" ref="I295:I299" si="40">G295-H295</f>
        <v>0</v>
      </c>
      <c r="J295" s="88"/>
      <c r="K295" s="200"/>
      <c r="L295" s="98"/>
      <c r="M295" s="62"/>
      <c r="N295" s="97"/>
    </row>
    <row r="296" spans="1:16" s="23" customFormat="1" ht="18" customHeight="1">
      <c r="A296" s="15"/>
      <c r="B296" s="24"/>
      <c r="C296" s="25"/>
      <c r="D296" s="18"/>
      <c r="E296" s="26" t="s">
        <v>573</v>
      </c>
      <c r="F296" s="28" t="s">
        <v>575</v>
      </c>
      <c r="G296" s="156">
        <v>1500000</v>
      </c>
      <c r="H296" s="21">
        <v>1500000</v>
      </c>
      <c r="I296" s="22">
        <f t="shared" si="40"/>
        <v>0</v>
      </c>
      <c r="J296" s="88"/>
      <c r="K296" s="200"/>
      <c r="L296" s="98"/>
      <c r="M296" s="62"/>
      <c r="N296" s="97"/>
    </row>
    <row r="297" spans="1:16" s="23" customFormat="1" ht="18" customHeight="1">
      <c r="A297" s="15"/>
      <c r="B297" s="24"/>
      <c r="C297" s="25"/>
      <c r="D297" s="18"/>
      <c r="E297" s="26" t="s">
        <v>576</v>
      </c>
      <c r="F297" s="28" t="s">
        <v>577</v>
      </c>
      <c r="G297" s="156">
        <v>3000000</v>
      </c>
      <c r="H297" s="21">
        <v>3000000</v>
      </c>
      <c r="I297" s="22">
        <f t="shared" si="40"/>
        <v>0</v>
      </c>
      <c r="J297" s="88"/>
      <c r="K297" s="200"/>
      <c r="L297" s="98"/>
      <c r="M297" s="62"/>
      <c r="N297" s="97"/>
    </row>
    <row r="298" spans="1:16" s="23" customFormat="1" ht="18" customHeight="1">
      <c r="A298" s="30"/>
      <c r="B298" s="32"/>
      <c r="C298" s="33"/>
      <c r="D298" s="31"/>
      <c r="E298" s="129" t="s">
        <v>578</v>
      </c>
      <c r="F298" s="129" t="s">
        <v>579</v>
      </c>
      <c r="G298" s="159">
        <v>6000000</v>
      </c>
      <c r="H298" s="27">
        <v>6000000</v>
      </c>
      <c r="I298" s="22">
        <f t="shared" si="40"/>
        <v>0</v>
      </c>
      <c r="J298" s="44"/>
      <c r="K298" s="200"/>
      <c r="L298" s="98"/>
      <c r="M298" s="62"/>
      <c r="N298" s="97"/>
    </row>
    <row r="299" spans="1:16" s="23" customFormat="1" ht="18" customHeight="1">
      <c r="A299" s="15"/>
      <c r="B299" s="24"/>
      <c r="C299" s="25"/>
      <c r="D299" s="18"/>
      <c r="E299" s="29" t="s">
        <v>578</v>
      </c>
      <c r="F299" s="28" t="s">
        <v>580</v>
      </c>
      <c r="G299" s="156">
        <v>30000000</v>
      </c>
      <c r="H299" s="21">
        <v>30000000</v>
      </c>
      <c r="I299" s="22">
        <f t="shared" si="40"/>
        <v>0</v>
      </c>
      <c r="J299" s="88"/>
      <c r="K299" s="200"/>
      <c r="L299" s="98"/>
      <c r="M299" s="62"/>
      <c r="N299" s="97"/>
    </row>
    <row r="300" spans="1:16" s="23" customFormat="1" ht="18" customHeight="1">
      <c r="A300" s="13"/>
      <c r="B300" s="263" t="s">
        <v>581</v>
      </c>
      <c r="C300" s="264"/>
      <c r="D300" s="264"/>
      <c r="E300" s="264"/>
      <c r="F300" s="152"/>
      <c r="G300" s="153">
        <f>G301</f>
        <v>56922000</v>
      </c>
      <c r="H300" s="14">
        <f>H301</f>
        <v>54745000</v>
      </c>
      <c r="I300" s="14">
        <f>I301</f>
        <v>2177000</v>
      </c>
      <c r="J300" s="86"/>
      <c r="K300" s="200"/>
      <c r="L300" s="98"/>
      <c r="M300" s="62"/>
      <c r="N300" s="97"/>
    </row>
    <row r="301" spans="1:16" s="23" customFormat="1" ht="18" customHeight="1">
      <c r="A301" s="13"/>
      <c r="B301" s="25"/>
      <c r="C301" s="248" t="s">
        <v>582</v>
      </c>
      <c r="D301" s="249"/>
      <c r="E301" s="249"/>
      <c r="F301" s="154"/>
      <c r="G301" s="155">
        <f>G302+G304+G306+G308+G315</f>
        <v>56922000</v>
      </c>
      <c r="H301" s="17">
        <f>H302+H304+H306+H308+H315</f>
        <v>54745000</v>
      </c>
      <c r="I301" s="17">
        <f>I302+I304+I306+I308+I315</f>
        <v>2177000</v>
      </c>
      <c r="J301" s="87"/>
      <c r="K301" s="200"/>
      <c r="L301" s="98"/>
      <c r="M301" s="62"/>
      <c r="N301" s="97"/>
    </row>
    <row r="302" spans="1:16" s="23" customFormat="1" ht="18" customHeight="1">
      <c r="A302" s="13"/>
      <c r="B302" s="25"/>
      <c r="C302" s="18"/>
      <c r="D302" s="265" t="s">
        <v>583</v>
      </c>
      <c r="E302" s="262"/>
      <c r="F302" s="59"/>
      <c r="G302" s="156">
        <f>SUM(G303:G303)</f>
        <v>25000000</v>
      </c>
      <c r="H302" s="21">
        <f>SUM(H303:H303)</f>
        <v>25000000</v>
      </c>
      <c r="I302" s="21">
        <f>SUM(I303:I303)</f>
        <v>0</v>
      </c>
      <c r="J302" s="88"/>
      <c r="K302" s="200"/>
      <c r="L302" s="98"/>
      <c r="M302" s="62"/>
      <c r="N302" s="97"/>
    </row>
    <row r="303" spans="1:16" s="23" customFormat="1" ht="18" customHeight="1">
      <c r="A303" s="13"/>
      <c r="B303" s="25"/>
      <c r="C303" s="18"/>
      <c r="D303" s="18"/>
      <c r="E303" s="26" t="s">
        <v>584</v>
      </c>
      <c r="F303" s="28" t="s">
        <v>585</v>
      </c>
      <c r="G303" s="156">
        <v>25000000</v>
      </c>
      <c r="H303" s="21">
        <v>25000000</v>
      </c>
      <c r="I303" s="22">
        <f t="shared" ref="I303:I316" si="41">G303-H303</f>
        <v>0</v>
      </c>
      <c r="J303" s="88"/>
      <c r="K303" s="200"/>
      <c r="L303" s="98"/>
      <c r="M303" s="62"/>
      <c r="N303" s="97"/>
    </row>
    <row r="304" spans="1:16" s="23" customFormat="1" ht="18" customHeight="1">
      <c r="A304" s="13"/>
      <c r="B304" s="25"/>
      <c r="C304" s="18"/>
      <c r="D304" s="265" t="s">
        <v>586</v>
      </c>
      <c r="E304" s="262"/>
      <c r="F304" s="59"/>
      <c r="G304" s="156">
        <f>G305</f>
        <v>1000000</v>
      </c>
      <c r="H304" s="21">
        <f>H305</f>
        <v>1000000</v>
      </c>
      <c r="I304" s="21">
        <f>I305</f>
        <v>0</v>
      </c>
      <c r="J304" s="88"/>
      <c r="K304" s="200"/>
      <c r="L304" s="98"/>
      <c r="M304" s="62"/>
      <c r="N304" s="97"/>
    </row>
    <row r="305" spans="1:14" s="23" customFormat="1" ht="18" customHeight="1">
      <c r="A305" s="13"/>
      <c r="B305" s="25"/>
      <c r="C305" s="18"/>
      <c r="D305" s="18"/>
      <c r="E305" s="26" t="s">
        <v>586</v>
      </c>
      <c r="F305" s="28" t="s">
        <v>587</v>
      </c>
      <c r="G305" s="156">
        <v>1000000</v>
      </c>
      <c r="H305" s="21">
        <v>1000000</v>
      </c>
      <c r="I305" s="22">
        <f t="shared" si="41"/>
        <v>0</v>
      </c>
      <c r="J305" s="88"/>
      <c r="K305" s="200"/>
      <c r="L305" s="98"/>
      <c r="M305" s="62"/>
      <c r="N305" s="97"/>
    </row>
    <row r="306" spans="1:14" s="23" customFormat="1" ht="18" customHeight="1">
      <c r="A306" s="13"/>
      <c r="B306" s="25"/>
      <c r="C306" s="18"/>
      <c r="D306" s="265" t="s">
        <v>588</v>
      </c>
      <c r="E306" s="262"/>
      <c r="F306" s="59"/>
      <c r="G306" s="156">
        <f>SUM(G307)</f>
        <v>26000000</v>
      </c>
      <c r="H306" s="21">
        <f>SUM(H307)</f>
        <v>24374000</v>
      </c>
      <c r="I306" s="21">
        <f>SUM(I307)</f>
        <v>1626000</v>
      </c>
      <c r="J306" s="88"/>
      <c r="K306" s="200"/>
      <c r="L306" s="98"/>
      <c r="M306" s="62"/>
      <c r="N306" s="97"/>
    </row>
    <row r="307" spans="1:14" s="23" customFormat="1" ht="18" customHeight="1">
      <c r="A307" s="13"/>
      <c r="B307" s="25"/>
      <c r="C307" s="18"/>
      <c r="D307" s="18"/>
      <c r="E307" s="26" t="s">
        <v>65</v>
      </c>
      <c r="F307" s="28" t="s">
        <v>167</v>
      </c>
      <c r="G307" s="156">
        <v>26000000</v>
      </c>
      <c r="H307" s="21">
        <v>24374000</v>
      </c>
      <c r="I307" s="22">
        <f t="shared" si="41"/>
        <v>1626000</v>
      </c>
      <c r="J307" s="88"/>
      <c r="K307" s="200"/>
      <c r="L307" s="98"/>
      <c r="M307" s="62"/>
      <c r="N307" s="97"/>
    </row>
    <row r="308" spans="1:14" s="23" customFormat="1" ht="18" customHeight="1">
      <c r="A308" s="13"/>
      <c r="B308" s="25"/>
      <c r="C308" s="18"/>
      <c r="D308" s="265" t="s">
        <v>88</v>
      </c>
      <c r="E308" s="262"/>
      <c r="F308" s="59"/>
      <c r="G308" s="156">
        <f>SUM(G309:G314)</f>
        <v>4572000</v>
      </c>
      <c r="H308" s="21">
        <f>SUM(H309:H314)</f>
        <v>4071000</v>
      </c>
      <c r="I308" s="21">
        <f>SUM(I309:I314)</f>
        <v>501000</v>
      </c>
      <c r="J308" s="88"/>
      <c r="K308" s="200"/>
      <c r="L308" s="98"/>
      <c r="M308" s="62"/>
      <c r="N308" s="97"/>
    </row>
    <row r="309" spans="1:14" s="23" customFormat="1" ht="18" customHeight="1">
      <c r="A309" s="13"/>
      <c r="B309" s="25"/>
      <c r="C309" s="18"/>
      <c r="D309" s="18"/>
      <c r="E309" s="28" t="s">
        <v>145</v>
      </c>
      <c r="F309" s="28" t="s">
        <v>168</v>
      </c>
      <c r="G309" s="176">
        <v>1170000</v>
      </c>
      <c r="H309" s="21">
        <v>1097000</v>
      </c>
      <c r="I309" s="22">
        <f t="shared" si="41"/>
        <v>73000</v>
      </c>
      <c r="J309" s="138"/>
      <c r="K309" s="200"/>
      <c r="L309" s="98"/>
      <c r="M309" s="62"/>
      <c r="N309" s="97"/>
    </row>
    <row r="310" spans="1:14" s="23" customFormat="1" ht="18" customHeight="1">
      <c r="A310" s="13"/>
      <c r="B310" s="25"/>
      <c r="C310" s="18"/>
      <c r="D310" s="18"/>
      <c r="E310" s="28" t="s">
        <v>145</v>
      </c>
      <c r="F310" s="28" t="s">
        <v>169</v>
      </c>
      <c r="G310" s="176">
        <v>779000</v>
      </c>
      <c r="H310" s="21">
        <v>431000</v>
      </c>
      <c r="I310" s="22">
        <f t="shared" si="41"/>
        <v>348000</v>
      </c>
      <c r="J310" s="138"/>
      <c r="K310" s="200"/>
      <c r="L310" s="98"/>
      <c r="M310" s="62"/>
      <c r="N310" s="97"/>
    </row>
    <row r="311" spans="1:14" s="23" customFormat="1" ht="18" customHeight="1">
      <c r="A311" s="13"/>
      <c r="B311" s="25"/>
      <c r="C311" s="18"/>
      <c r="D311" s="18"/>
      <c r="E311" s="28" t="s">
        <v>145</v>
      </c>
      <c r="F311" s="28" t="s">
        <v>171</v>
      </c>
      <c r="G311" s="176">
        <v>51000</v>
      </c>
      <c r="H311" s="21">
        <v>29000</v>
      </c>
      <c r="I311" s="22">
        <f>G311-H311</f>
        <v>22000</v>
      </c>
      <c r="J311" s="138"/>
      <c r="K311" s="200"/>
      <c r="L311" s="98"/>
      <c r="M311" s="62"/>
      <c r="N311" s="97"/>
    </row>
    <row r="312" spans="1:14" s="23" customFormat="1" ht="18" customHeight="1">
      <c r="A312" s="13"/>
      <c r="B312" s="25"/>
      <c r="C312" s="18"/>
      <c r="D312" s="18"/>
      <c r="E312" s="28" t="s">
        <v>145</v>
      </c>
      <c r="F312" s="28" t="s">
        <v>170</v>
      </c>
      <c r="G312" s="176">
        <v>390000</v>
      </c>
      <c r="H312" s="21">
        <v>342000</v>
      </c>
      <c r="I312" s="22">
        <f>G312-H312</f>
        <v>48000</v>
      </c>
      <c r="J312" s="138"/>
      <c r="K312" s="200"/>
      <c r="L312" s="98"/>
      <c r="M312" s="62"/>
      <c r="N312" s="97"/>
    </row>
    <row r="313" spans="1:14" s="23" customFormat="1" ht="18" customHeight="1">
      <c r="A313" s="13"/>
      <c r="B313" s="25"/>
      <c r="C313" s="18"/>
      <c r="D313" s="18"/>
      <c r="E313" s="28" t="s">
        <v>145</v>
      </c>
      <c r="F313" s="28" t="s">
        <v>685</v>
      </c>
      <c r="G313" s="176">
        <v>182000</v>
      </c>
      <c r="H313" s="21">
        <v>140000</v>
      </c>
      <c r="I313" s="22">
        <f t="shared" si="41"/>
        <v>42000</v>
      </c>
      <c r="J313" s="138"/>
      <c r="K313" s="200"/>
      <c r="L313" s="98"/>
      <c r="M313" s="62"/>
      <c r="N313" s="97"/>
    </row>
    <row r="314" spans="1:14" s="23" customFormat="1" ht="18" customHeight="1">
      <c r="A314" s="13"/>
      <c r="B314" s="25"/>
      <c r="C314" s="24"/>
      <c r="D314" s="18"/>
      <c r="E314" s="28" t="s">
        <v>145</v>
      </c>
      <c r="F314" s="28" t="s">
        <v>172</v>
      </c>
      <c r="G314" s="176">
        <v>2000000</v>
      </c>
      <c r="H314" s="21">
        <v>2032000</v>
      </c>
      <c r="I314" s="22">
        <f t="shared" si="41"/>
        <v>-32000</v>
      </c>
      <c r="J314" s="138"/>
      <c r="K314" s="200"/>
      <c r="L314" s="98"/>
      <c r="M314" s="62"/>
      <c r="N314" s="97"/>
    </row>
    <row r="315" spans="1:14" s="23" customFormat="1" ht="18" customHeight="1">
      <c r="A315" s="15"/>
      <c r="B315" s="18"/>
      <c r="C315" s="24"/>
      <c r="D315" s="265" t="s">
        <v>146</v>
      </c>
      <c r="E315" s="262"/>
      <c r="F315" s="203"/>
      <c r="G315" s="180">
        <f>SUM(G316)</f>
        <v>350000</v>
      </c>
      <c r="H315" s="46">
        <f>SUM(H316)</f>
        <v>300000</v>
      </c>
      <c r="I315" s="46">
        <f>SUM(I316)</f>
        <v>50000</v>
      </c>
      <c r="J315" s="55"/>
      <c r="K315" s="200"/>
      <c r="L315" s="98"/>
      <c r="M315" s="62"/>
      <c r="N315" s="97"/>
    </row>
    <row r="316" spans="1:14" s="23" customFormat="1" ht="18" customHeight="1">
      <c r="A316" s="15"/>
      <c r="B316" s="18"/>
      <c r="C316" s="35"/>
      <c r="D316" s="20"/>
      <c r="E316" s="28" t="s">
        <v>589</v>
      </c>
      <c r="F316" s="28" t="s">
        <v>590</v>
      </c>
      <c r="G316" s="176">
        <v>350000</v>
      </c>
      <c r="H316" s="27">
        <v>300000</v>
      </c>
      <c r="I316" s="22">
        <f t="shared" si="41"/>
        <v>50000</v>
      </c>
      <c r="J316" s="44"/>
      <c r="K316" s="200"/>
      <c r="L316" s="98"/>
      <c r="M316" s="62"/>
      <c r="N316" s="97"/>
    </row>
    <row r="317" spans="1:14" s="23" customFormat="1" ht="18" customHeight="1">
      <c r="A317" s="13"/>
      <c r="B317" s="263" t="s">
        <v>591</v>
      </c>
      <c r="C317" s="261"/>
      <c r="D317" s="261"/>
      <c r="E317" s="264"/>
      <c r="F317" s="152"/>
      <c r="G317" s="153">
        <f>G318</f>
        <v>224750000</v>
      </c>
      <c r="H317" s="14">
        <f>H318</f>
        <v>221550000</v>
      </c>
      <c r="I317" s="14">
        <f>I318</f>
        <v>3200000</v>
      </c>
      <c r="J317" s="113"/>
      <c r="K317" s="200"/>
      <c r="L317" s="98"/>
      <c r="M317" s="62"/>
      <c r="N317" s="97"/>
    </row>
    <row r="318" spans="1:14" s="23" customFormat="1" ht="18" customHeight="1">
      <c r="A318" s="15"/>
      <c r="B318" s="24"/>
      <c r="C318" s="249" t="s">
        <v>138</v>
      </c>
      <c r="D318" s="249"/>
      <c r="E318" s="249"/>
      <c r="F318" s="207"/>
      <c r="G318" s="155">
        <f>G319+G325</f>
        <v>224750000</v>
      </c>
      <c r="H318" s="17">
        <f>H319+H325</f>
        <v>221550000</v>
      </c>
      <c r="I318" s="17">
        <f>I319+I325</f>
        <v>3200000</v>
      </c>
      <c r="J318" s="114"/>
      <c r="K318" s="200"/>
      <c r="L318" s="98"/>
      <c r="M318" s="62"/>
      <c r="N318" s="97"/>
    </row>
    <row r="319" spans="1:14" s="23" customFormat="1" ht="18" customHeight="1">
      <c r="A319" s="15"/>
      <c r="B319" s="24"/>
      <c r="C319" s="25"/>
      <c r="D319" s="265" t="s">
        <v>97</v>
      </c>
      <c r="E319" s="262"/>
      <c r="F319" s="59"/>
      <c r="G319" s="156">
        <f>SUM(G320:G324)</f>
        <v>219750000</v>
      </c>
      <c r="H319" s="21">
        <f>SUM(H320:H324)</f>
        <v>216550000</v>
      </c>
      <c r="I319" s="21">
        <f>SUM(I320:I324)</f>
        <v>3200000</v>
      </c>
      <c r="J319" s="88"/>
      <c r="K319" s="200"/>
      <c r="L319" s="98"/>
      <c r="M319" s="62"/>
      <c r="N319" s="97"/>
    </row>
    <row r="320" spans="1:14" s="23" customFormat="1" ht="18" customHeight="1">
      <c r="A320" s="15"/>
      <c r="B320" s="24"/>
      <c r="C320" s="25"/>
      <c r="D320" s="18"/>
      <c r="E320" s="20" t="s">
        <v>97</v>
      </c>
      <c r="F320" s="59" t="s">
        <v>73</v>
      </c>
      <c r="G320" s="156">
        <v>161630000</v>
      </c>
      <c r="H320" s="21">
        <v>161630000</v>
      </c>
      <c r="I320" s="22">
        <f t="shared" ref="I320:I326" si="42">G320-H320</f>
        <v>0</v>
      </c>
      <c r="J320" s="88"/>
      <c r="K320" s="200"/>
      <c r="L320" s="98"/>
      <c r="M320" s="62"/>
      <c r="N320" s="97"/>
    </row>
    <row r="321" spans="1:14" s="23" customFormat="1" ht="18" customHeight="1">
      <c r="A321" s="15"/>
      <c r="B321" s="24"/>
      <c r="C321" s="25"/>
      <c r="D321" s="18"/>
      <c r="E321" s="20" t="s">
        <v>97</v>
      </c>
      <c r="F321" s="59" t="s">
        <v>72</v>
      </c>
      <c r="G321" s="156">
        <v>20000000</v>
      </c>
      <c r="H321" s="21">
        <v>20000000</v>
      </c>
      <c r="I321" s="22"/>
      <c r="J321" s="88"/>
      <c r="K321" s="200"/>
      <c r="L321" s="98"/>
      <c r="M321" s="62"/>
      <c r="N321" s="97"/>
    </row>
    <row r="322" spans="1:14" s="23" customFormat="1" ht="18" customHeight="1">
      <c r="A322" s="15"/>
      <c r="B322" s="24"/>
      <c r="C322" s="25"/>
      <c r="D322" s="18"/>
      <c r="E322" s="20" t="s">
        <v>97</v>
      </c>
      <c r="F322" s="59" t="s">
        <v>178</v>
      </c>
      <c r="G322" s="156">
        <v>12000000</v>
      </c>
      <c r="H322" s="21">
        <v>12000000</v>
      </c>
      <c r="I322" s="22">
        <f t="shared" si="42"/>
        <v>0</v>
      </c>
      <c r="J322" s="88"/>
      <c r="K322" s="200"/>
      <c r="L322" s="98"/>
      <c r="M322" s="62"/>
      <c r="N322" s="97"/>
    </row>
    <row r="323" spans="1:14" s="23" customFormat="1" ht="18" customHeight="1">
      <c r="A323" s="15"/>
      <c r="B323" s="24"/>
      <c r="C323" s="25"/>
      <c r="D323" s="24"/>
      <c r="E323" s="20" t="s">
        <v>97</v>
      </c>
      <c r="F323" s="59" t="s">
        <v>50</v>
      </c>
      <c r="G323" s="156">
        <v>12000000</v>
      </c>
      <c r="H323" s="21">
        <v>12000000</v>
      </c>
      <c r="I323" s="22">
        <f t="shared" si="42"/>
        <v>0</v>
      </c>
      <c r="J323" s="88"/>
      <c r="K323" s="200"/>
      <c r="L323" s="98"/>
      <c r="M323" s="62"/>
      <c r="N323" s="97"/>
    </row>
    <row r="324" spans="1:14" s="23" customFormat="1" ht="18" customHeight="1">
      <c r="A324" s="15"/>
      <c r="B324" s="24"/>
      <c r="C324" s="25"/>
      <c r="D324" s="35"/>
      <c r="E324" s="20" t="s">
        <v>97</v>
      </c>
      <c r="F324" s="59" t="s">
        <v>116</v>
      </c>
      <c r="G324" s="156">
        <f>(10920000+3200000)</f>
        <v>14120000</v>
      </c>
      <c r="H324" s="21">
        <v>10920000</v>
      </c>
      <c r="I324" s="22">
        <f t="shared" si="42"/>
        <v>3200000</v>
      </c>
      <c r="J324" s="88" t="s">
        <v>663</v>
      </c>
      <c r="K324" s="200"/>
      <c r="L324" s="98"/>
      <c r="M324" s="62"/>
      <c r="N324" s="97"/>
    </row>
    <row r="325" spans="1:14" s="23" customFormat="1" ht="18" customHeight="1">
      <c r="A325" s="13"/>
      <c r="B325" s="25"/>
      <c r="C325" s="18"/>
      <c r="D325" s="266" t="s">
        <v>146</v>
      </c>
      <c r="E325" s="267"/>
      <c r="F325" s="59"/>
      <c r="G325" s="174">
        <f>SUM(G326)</f>
        <v>5000000</v>
      </c>
      <c r="H325" s="37">
        <f>SUM(H326)</f>
        <v>5000000</v>
      </c>
      <c r="I325" s="37">
        <f>SUM(I326)</f>
        <v>0</v>
      </c>
      <c r="J325" s="88"/>
      <c r="K325" s="200"/>
      <c r="L325" s="98"/>
      <c r="M325" s="62"/>
      <c r="N325" s="97"/>
    </row>
    <row r="326" spans="1:14" s="23" customFormat="1" ht="18" customHeight="1">
      <c r="A326" s="13"/>
      <c r="B326" s="25"/>
      <c r="C326" s="18"/>
      <c r="D326" s="20"/>
      <c r="E326" s="28" t="s">
        <v>84</v>
      </c>
      <c r="F326" s="28" t="s">
        <v>104</v>
      </c>
      <c r="G326" s="156">
        <v>5000000</v>
      </c>
      <c r="H326" s="21">
        <v>5000000</v>
      </c>
      <c r="I326" s="22">
        <f t="shared" si="42"/>
        <v>0</v>
      </c>
      <c r="J326" s="88" t="s">
        <v>121</v>
      </c>
      <c r="K326" s="200"/>
      <c r="L326" s="98"/>
      <c r="M326" s="62"/>
      <c r="N326" s="97"/>
    </row>
    <row r="327" spans="1:14" s="23" customFormat="1" ht="18" customHeight="1">
      <c r="A327" s="274" t="s">
        <v>71</v>
      </c>
      <c r="B327" s="275"/>
      <c r="C327" s="275"/>
      <c r="D327" s="275"/>
      <c r="E327" s="275"/>
      <c r="F327" s="183"/>
      <c r="G327" s="229">
        <f>G328+G364+G368+G387</f>
        <v>549279000</v>
      </c>
      <c r="H327" s="48">
        <f>H328+H364+H368+H387</f>
        <v>446127000</v>
      </c>
      <c r="I327" s="230">
        <f>I328+I364+I368+I387</f>
        <v>103152000</v>
      </c>
      <c r="J327" s="90"/>
      <c r="K327" s="200"/>
      <c r="L327" s="98"/>
      <c r="M327" s="62"/>
      <c r="N327" s="97"/>
    </row>
    <row r="328" spans="1:14" s="23" customFormat="1" ht="18" customHeight="1">
      <c r="A328" s="13"/>
      <c r="B328" s="263" t="s">
        <v>70</v>
      </c>
      <c r="C328" s="264"/>
      <c r="D328" s="264"/>
      <c r="E328" s="264"/>
      <c r="F328" s="152"/>
      <c r="G328" s="153">
        <f>G329+G355</f>
        <v>495473000</v>
      </c>
      <c r="H328" s="14">
        <f>H329+H355</f>
        <v>396350000</v>
      </c>
      <c r="I328" s="14">
        <f>I329+I355</f>
        <v>99123000</v>
      </c>
      <c r="J328" s="86"/>
      <c r="K328" s="200"/>
      <c r="L328" s="98"/>
      <c r="M328" s="62"/>
      <c r="N328" s="97"/>
    </row>
    <row r="329" spans="1:14" s="23" customFormat="1" ht="18" customHeight="1">
      <c r="A329" s="13"/>
      <c r="B329" s="25"/>
      <c r="C329" s="248" t="s">
        <v>139</v>
      </c>
      <c r="D329" s="249"/>
      <c r="E329" s="249"/>
      <c r="F329" s="154"/>
      <c r="G329" s="196">
        <f>G330+G336+G339+G346</f>
        <v>431723000</v>
      </c>
      <c r="H329" s="17">
        <f>H330+H336+H339+H346</f>
        <v>320850000</v>
      </c>
      <c r="I329" s="116">
        <f>I330+I336+I339+I346</f>
        <v>110873000</v>
      </c>
      <c r="J329" s="87"/>
      <c r="K329" s="200"/>
      <c r="L329" s="98"/>
      <c r="M329" s="62"/>
      <c r="N329" s="97"/>
    </row>
    <row r="330" spans="1:14" s="23" customFormat="1" ht="18" customHeight="1">
      <c r="A330" s="13"/>
      <c r="B330" s="25"/>
      <c r="C330" s="18"/>
      <c r="D330" s="265" t="s">
        <v>97</v>
      </c>
      <c r="E330" s="262"/>
      <c r="F330" s="59"/>
      <c r="G330" s="156">
        <f>SUM(G331:G335)</f>
        <v>21350000</v>
      </c>
      <c r="H330" s="21">
        <f>SUM(H331:H335)</f>
        <v>28350000</v>
      </c>
      <c r="I330" s="21">
        <f>SUM(I331:I335)</f>
        <v>-7000000</v>
      </c>
      <c r="J330" s="88"/>
      <c r="K330" s="200"/>
      <c r="L330" s="98"/>
      <c r="M330" s="62"/>
      <c r="N330" s="97"/>
    </row>
    <row r="331" spans="1:14" s="23" customFormat="1" ht="18" customHeight="1">
      <c r="A331" s="13"/>
      <c r="B331" s="25"/>
      <c r="C331" s="18"/>
      <c r="D331" s="18"/>
      <c r="E331" s="26" t="s">
        <v>97</v>
      </c>
      <c r="F331" s="28" t="s">
        <v>156</v>
      </c>
      <c r="G331" s="156">
        <v>2000000</v>
      </c>
      <c r="H331" s="21">
        <v>2000000</v>
      </c>
      <c r="I331" s="22">
        <f t="shared" ref="I331:I354" si="43">G331-H331</f>
        <v>0</v>
      </c>
      <c r="J331" s="88"/>
      <c r="K331" s="200"/>
      <c r="L331" s="98"/>
      <c r="M331" s="62"/>
      <c r="N331" s="97"/>
    </row>
    <row r="332" spans="1:14" s="23" customFormat="1" ht="18" customHeight="1">
      <c r="A332" s="13"/>
      <c r="B332" s="25"/>
      <c r="C332" s="18"/>
      <c r="D332" s="18"/>
      <c r="E332" s="26" t="s">
        <v>97</v>
      </c>
      <c r="F332" s="28" t="s">
        <v>105</v>
      </c>
      <c r="G332" s="156">
        <v>10000000</v>
      </c>
      <c r="H332" s="21">
        <v>10000000</v>
      </c>
      <c r="I332" s="22">
        <f t="shared" si="43"/>
        <v>0</v>
      </c>
      <c r="J332" s="88"/>
      <c r="K332" s="200"/>
      <c r="L332" s="98"/>
      <c r="M332" s="62"/>
      <c r="N332" s="97"/>
    </row>
    <row r="333" spans="1:14" s="23" customFormat="1" ht="18" customHeight="1">
      <c r="A333" s="13"/>
      <c r="B333" s="25"/>
      <c r="C333" s="18"/>
      <c r="D333" s="18"/>
      <c r="E333" s="26" t="s">
        <v>151</v>
      </c>
      <c r="F333" s="28" t="s">
        <v>208</v>
      </c>
      <c r="G333" s="156">
        <v>1000000</v>
      </c>
      <c r="H333" s="21">
        <v>1000000</v>
      </c>
      <c r="I333" s="22">
        <f t="shared" si="43"/>
        <v>0</v>
      </c>
      <c r="J333" s="88"/>
      <c r="K333" s="200"/>
      <c r="L333" s="98"/>
      <c r="M333" s="62"/>
      <c r="N333" s="97"/>
    </row>
    <row r="334" spans="1:14" s="23" customFormat="1" ht="18" customHeight="1">
      <c r="A334" s="13"/>
      <c r="B334" s="25"/>
      <c r="C334" s="18"/>
      <c r="D334" s="18"/>
      <c r="E334" s="26" t="s">
        <v>97</v>
      </c>
      <c r="F334" s="28" t="s">
        <v>209</v>
      </c>
      <c r="G334" s="156">
        <v>350000</v>
      </c>
      <c r="H334" s="21">
        <v>350000</v>
      </c>
      <c r="I334" s="22">
        <f t="shared" si="43"/>
        <v>0</v>
      </c>
      <c r="J334" s="88"/>
      <c r="K334" s="200"/>
      <c r="L334" s="98"/>
      <c r="M334" s="62"/>
      <c r="N334" s="97"/>
    </row>
    <row r="335" spans="1:14" s="23" customFormat="1" ht="18" customHeight="1">
      <c r="A335" s="13"/>
      <c r="B335" s="25"/>
      <c r="C335" s="18"/>
      <c r="D335" s="18"/>
      <c r="E335" s="26" t="s">
        <v>97</v>
      </c>
      <c r="F335" s="26" t="s">
        <v>210</v>
      </c>
      <c r="G335" s="156">
        <v>8000000</v>
      </c>
      <c r="H335" s="21">
        <v>15000000</v>
      </c>
      <c r="I335" s="22">
        <f t="shared" si="43"/>
        <v>-7000000</v>
      </c>
      <c r="J335" s="88"/>
      <c r="K335" s="200"/>
      <c r="L335" s="98"/>
      <c r="M335" s="62"/>
      <c r="N335" s="97"/>
    </row>
    <row r="336" spans="1:14" s="23" customFormat="1" ht="18" customHeight="1">
      <c r="A336" s="13"/>
      <c r="B336" s="25"/>
      <c r="C336" s="18"/>
      <c r="D336" s="265" t="s">
        <v>96</v>
      </c>
      <c r="E336" s="262"/>
      <c r="F336" s="59"/>
      <c r="G336" s="156">
        <f>SUM(G337:G338)</f>
        <v>311600000</v>
      </c>
      <c r="H336" s="21">
        <f>SUM(H337:H338)</f>
        <v>210000000</v>
      </c>
      <c r="I336" s="21">
        <f>SUM(I337:I338)</f>
        <v>101600000</v>
      </c>
      <c r="J336" s="88"/>
      <c r="K336" s="200"/>
      <c r="L336" s="98"/>
      <c r="M336" s="62"/>
      <c r="N336" s="97"/>
    </row>
    <row r="337" spans="1:16" s="23" customFormat="1" ht="18" customHeight="1">
      <c r="A337" s="13"/>
      <c r="B337" s="25"/>
      <c r="C337" s="18"/>
      <c r="D337" s="20"/>
      <c r="E337" s="20" t="s">
        <v>592</v>
      </c>
      <c r="F337" s="28" t="s">
        <v>593</v>
      </c>
      <c r="G337" s="156">
        <v>230000000</v>
      </c>
      <c r="H337" s="21">
        <v>210000000</v>
      </c>
      <c r="I337" s="22">
        <f t="shared" si="43"/>
        <v>20000000</v>
      </c>
      <c r="J337" s="88"/>
      <c r="K337" s="200"/>
      <c r="L337" s="98"/>
      <c r="M337" s="62"/>
      <c r="N337" s="97"/>
    </row>
    <row r="338" spans="1:16" s="23" customFormat="1" ht="18" customHeight="1">
      <c r="A338" s="15"/>
      <c r="B338" s="18"/>
      <c r="C338" s="24"/>
      <c r="D338" s="25"/>
      <c r="E338" s="20" t="s">
        <v>673</v>
      </c>
      <c r="F338" s="59" t="s">
        <v>673</v>
      </c>
      <c r="G338" s="176">
        <v>81600000</v>
      </c>
      <c r="H338" s="41">
        <v>0</v>
      </c>
      <c r="I338" s="41">
        <f>G338-H338</f>
        <v>81600000</v>
      </c>
      <c r="J338" s="55" t="s">
        <v>706</v>
      </c>
      <c r="K338" s="200"/>
      <c r="L338" s="98"/>
      <c r="M338" s="62"/>
      <c r="N338" s="97"/>
    </row>
    <row r="339" spans="1:16" s="23" customFormat="1" ht="18" customHeight="1">
      <c r="A339" s="13"/>
      <c r="B339" s="25"/>
      <c r="C339" s="18"/>
      <c r="D339" s="265" t="s">
        <v>88</v>
      </c>
      <c r="E339" s="262"/>
      <c r="F339" s="59"/>
      <c r="G339" s="197">
        <f>SUM(G340:G345)</f>
        <v>14873000</v>
      </c>
      <c r="H339" s="21">
        <f>SUM(H340:H345)</f>
        <v>0</v>
      </c>
      <c r="I339" s="21">
        <f>SUM(I340:I345)</f>
        <v>14873000</v>
      </c>
      <c r="J339" s="88"/>
      <c r="K339" s="200"/>
      <c r="L339" s="98"/>
      <c r="M339" s="62"/>
      <c r="N339" s="97"/>
      <c r="P339" s="97"/>
    </row>
    <row r="340" spans="1:16" s="23" customFormat="1" ht="18" customHeight="1">
      <c r="A340" s="13"/>
      <c r="B340" s="25"/>
      <c r="C340" s="18"/>
      <c r="D340" s="18"/>
      <c r="E340" s="28" t="s">
        <v>699</v>
      </c>
      <c r="F340" s="28" t="s">
        <v>700</v>
      </c>
      <c r="G340" s="176">
        <v>3672000</v>
      </c>
      <c r="H340" s="21">
        <v>0</v>
      </c>
      <c r="I340" s="22">
        <f t="shared" ref="I340:I341" si="44">G340-H340</f>
        <v>3672000</v>
      </c>
      <c r="J340" s="138"/>
      <c r="K340" s="200"/>
      <c r="L340" s="98"/>
      <c r="M340" s="62"/>
      <c r="N340" s="97"/>
    </row>
    <row r="341" spans="1:16" s="23" customFormat="1" ht="18" customHeight="1">
      <c r="A341" s="13"/>
      <c r="B341" s="25"/>
      <c r="C341" s="18"/>
      <c r="D341" s="18"/>
      <c r="E341" s="28" t="s">
        <v>698</v>
      </c>
      <c r="F341" s="28" t="s">
        <v>701</v>
      </c>
      <c r="G341" s="176">
        <v>2444000</v>
      </c>
      <c r="H341" s="21">
        <v>0</v>
      </c>
      <c r="I341" s="22">
        <f t="shared" si="44"/>
        <v>2444000</v>
      </c>
      <c r="J341" s="138"/>
      <c r="K341" s="200"/>
      <c r="L341" s="98"/>
      <c r="M341" s="62"/>
      <c r="N341" s="97"/>
    </row>
    <row r="342" spans="1:16" s="23" customFormat="1" ht="18" customHeight="1">
      <c r="A342" s="13"/>
      <c r="B342" s="25"/>
      <c r="C342" s="18"/>
      <c r="D342" s="18"/>
      <c r="E342" s="28" t="s">
        <v>698</v>
      </c>
      <c r="F342" s="28" t="s">
        <v>702</v>
      </c>
      <c r="G342" s="176">
        <v>161000</v>
      </c>
      <c r="H342" s="21">
        <v>0</v>
      </c>
      <c r="I342" s="22">
        <f>G342-H342</f>
        <v>161000</v>
      </c>
      <c r="J342" s="138"/>
      <c r="K342" s="200"/>
      <c r="L342" s="98"/>
      <c r="M342" s="62"/>
      <c r="N342" s="97"/>
      <c r="P342" s="60"/>
    </row>
    <row r="343" spans="1:16" s="23" customFormat="1" ht="18" customHeight="1">
      <c r="A343" s="13"/>
      <c r="B343" s="25"/>
      <c r="C343" s="18"/>
      <c r="D343" s="18"/>
      <c r="E343" s="28" t="s">
        <v>698</v>
      </c>
      <c r="F343" s="28" t="s">
        <v>703</v>
      </c>
      <c r="G343" s="176">
        <v>1224000</v>
      </c>
      <c r="H343" s="21">
        <v>0</v>
      </c>
      <c r="I343" s="22">
        <f>G343-H343</f>
        <v>1224000</v>
      </c>
      <c r="J343" s="138"/>
      <c r="K343" s="200"/>
      <c r="L343" s="98"/>
      <c r="M343" s="62"/>
      <c r="N343" s="97"/>
      <c r="P343" s="60"/>
    </row>
    <row r="344" spans="1:16" s="23" customFormat="1" ht="18" customHeight="1">
      <c r="A344" s="13"/>
      <c r="B344" s="25"/>
      <c r="C344" s="18"/>
      <c r="D344" s="18"/>
      <c r="E344" s="28" t="s">
        <v>698</v>
      </c>
      <c r="F344" s="28" t="s">
        <v>704</v>
      </c>
      <c r="G344" s="176">
        <v>572000</v>
      </c>
      <c r="H344" s="21">
        <v>0</v>
      </c>
      <c r="I344" s="22">
        <f t="shared" ref="I344:I345" si="45">G344-H344</f>
        <v>572000</v>
      </c>
      <c r="J344" s="138"/>
      <c r="K344" s="200"/>
      <c r="L344" s="98"/>
      <c r="M344" s="62"/>
      <c r="N344" s="97"/>
      <c r="P344" s="60"/>
    </row>
    <row r="345" spans="1:16" s="23" customFormat="1" ht="18" customHeight="1">
      <c r="A345" s="13"/>
      <c r="B345" s="25"/>
      <c r="C345" s="18"/>
      <c r="D345" s="18"/>
      <c r="E345" s="28" t="s">
        <v>698</v>
      </c>
      <c r="F345" s="28" t="s">
        <v>705</v>
      </c>
      <c r="G345" s="176">
        <v>6800000</v>
      </c>
      <c r="H345" s="21">
        <v>0</v>
      </c>
      <c r="I345" s="22">
        <f t="shared" si="45"/>
        <v>6800000</v>
      </c>
      <c r="J345" s="88"/>
      <c r="K345" s="200"/>
      <c r="L345" s="98"/>
      <c r="M345" s="62"/>
      <c r="N345" s="97"/>
      <c r="P345" s="60"/>
    </row>
    <row r="346" spans="1:16" s="23" customFormat="1" ht="18" customHeight="1">
      <c r="A346" s="13"/>
      <c r="B346" s="25"/>
      <c r="C346" s="18"/>
      <c r="D346" s="265" t="s">
        <v>594</v>
      </c>
      <c r="E346" s="262"/>
      <c r="F346" s="59"/>
      <c r="G346" s="174">
        <f>SUM(G347:G354)</f>
        <v>83900000</v>
      </c>
      <c r="H346" s="37">
        <f>SUM(H347:H354)</f>
        <v>82500000</v>
      </c>
      <c r="I346" s="37">
        <f>SUM(I347:I354)</f>
        <v>1400000</v>
      </c>
      <c r="J346" s="88"/>
      <c r="K346" s="200"/>
      <c r="L346" s="98"/>
      <c r="M346" s="62"/>
      <c r="N346" s="97"/>
    </row>
    <row r="347" spans="1:16" s="23" customFormat="1" ht="18" customHeight="1">
      <c r="A347" s="13"/>
      <c r="B347" s="25"/>
      <c r="C347" s="18"/>
      <c r="D347" s="18"/>
      <c r="E347" s="26" t="s">
        <v>595</v>
      </c>
      <c r="F347" s="28" t="s">
        <v>596</v>
      </c>
      <c r="G347" s="156">
        <v>20000000</v>
      </c>
      <c r="H347" s="21">
        <v>20000000</v>
      </c>
      <c r="I347" s="22">
        <f t="shared" si="43"/>
        <v>0</v>
      </c>
      <c r="J347" s="88"/>
      <c r="K347" s="200"/>
      <c r="L347" s="98"/>
      <c r="M347" s="62"/>
      <c r="N347" s="97"/>
    </row>
    <row r="348" spans="1:16" s="23" customFormat="1" ht="18" customHeight="1">
      <c r="A348" s="13"/>
      <c r="B348" s="25"/>
      <c r="C348" s="18"/>
      <c r="D348" s="18"/>
      <c r="E348" s="26" t="s">
        <v>595</v>
      </c>
      <c r="F348" s="28" t="s">
        <v>597</v>
      </c>
      <c r="G348" s="156">
        <v>0</v>
      </c>
      <c r="H348" s="21">
        <v>0</v>
      </c>
      <c r="I348" s="22">
        <f t="shared" si="43"/>
        <v>0</v>
      </c>
      <c r="J348" s="88"/>
      <c r="K348" s="200"/>
      <c r="L348" s="98"/>
      <c r="M348" s="62"/>
      <c r="N348" s="97"/>
    </row>
    <row r="349" spans="1:16" s="23" customFormat="1" ht="18" customHeight="1">
      <c r="A349" s="13"/>
      <c r="B349" s="25"/>
      <c r="C349" s="18"/>
      <c r="D349" s="18"/>
      <c r="E349" s="26" t="s">
        <v>595</v>
      </c>
      <c r="F349" s="28" t="s">
        <v>598</v>
      </c>
      <c r="G349" s="156">
        <v>1500000</v>
      </c>
      <c r="H349" s="21">
        <v>1500000</v>
      </c>
      <c r="I349" s="22">
        <f t="shared" si="43"/>
        <v>0</v>
      </c>
      <c r="J349" s="88"/>
      <c r="K349" s="200"/>
      <c r="L349" s="98"/>
      <c r="M349" s="62"/>
      <c r="N349" s="97"/>
    </row>
    <row r="350" spans="1:16" s="23" customFormat="1" ht="18" customHeight="1">
      <c r="A350" s="13"/>
      <c r="B350" s="25"/>
      <c r="C350" s="18"/>
      <c r="D350" s="18"/>
      <c r="E350" s="26" t="s">
        <v>595</v>
      </c>
      <c r="F350" s="28" t="s">
        <v>599</v>
      </c>
      <c r="G350" s="156">
        <v>20000000</v>
      </c>
      <c r="H350" s="21">
        <v>20000000</v>
      </c>
      <c r="I350" s="22">
        <f t="shared" si="43"/>
        <v>0</v>
      </c>
      <c r="J350" s="88"/>
      <c r="K350" s="200"/>
      <c r="L350" s="98"/>
      <c r="M350" s="62"/>
      <c r="N350" s="97"/>
    </row>
    <row r="351" spans="1:16" s="23" customFormat="1" ht="18" customHeight="1">
      <c r="A351" s="13"/>
      <c r="B351" s="25"/>
      <c r="C351" s="18"/>
      <c r="D351" s="18"/>
      <c r="E351" s="26" t="s">
        <v>595</v>
      </c>
      <c r="F351" s="28" t="s">
        <v>600</v>
      </c>
      <c r="G351" s="156">
        <v>5000000</v>
      </c>
      <c r="H351" s="21">
        <v>5000000</v>
      </c>
      <c r="I351" s="22">
        <f t="shared" si="43"/>
        <v>0</v>
      </c>
      <c r="J351" s="88"/>
      <c r="K351" s="200"/>
      <c r="L351" s="98"/>
      <c r="M351" s="62"/>
      <c r="N351" s="97"/>
    </row>
    <row r="352" spans="1:16" s="23" customFormat="1" ht="18" customHeight="1">
      <c r="A352" s="13"/>
      <c r="B352" s="25"/>
      <c r="C352" s="18"/>
      <c r="D352" s="18"/>
      <c r="E352" s="26" t="s">
        <v>595</v>
      </c>
      <c r="F352" s="28" t="s">
        <v>601</v>
      </c>
      <c r="G352" s="156">
        <v>7000000</v>
      </c>
      <c r="H352" s="21">
        <v>7000000</v>
      </c>
      <c r="I352" s="22">
        <f t="shared" si="43"/>
        <v>0</v>
      </c>
      <c r="J352" s="88"/>
      <c r="K352" s="200"/>
      <c r="L352" s="98"/>
      <c r="M352" s="62"/>
      <c r="N352" s="97"/>
    </row>
    <row r="353" spans="1:16" s="23" customFormat="1" ht="18" customHeight="1">
      <c r="A353" s="13"/>
      <c r="B353" s="25"/>
      <c r="C353" s="18"/>
      <c r="D353" s="18"/>
      <c r="E353" s="26" t="s">
        <v>595</v>
      </c>
      <c r="F353" s="28" t="s">
        <v>602</v>
      </c>
      <c r="G353" s="156">
        <v>29000000</v>
      </c>
      <c r="H353" s="21">
        <v>29000000</v>
      </c>
      <c r="I353" s="22">
        <f t="shared" si="43"/>
        <v>0</v>
      </c>
      <c r="J353" s="88"/>
      <c r="K353" s="200"/>
      <c r="L353" s="98"/>
      <c r="M353" s="62"/>
      <c r="N353" s="97"/>
    </row>
    <row r="354" spans="1:16" s="23" customFormat="1" ht="18" customHeight="1">
      <c r="A354" s="15"/>
      <c r="B354" s="18"/>
      <c r="C354" s="35"/>
      <c r="D354" s="20"/>
      <c r="E354" s="28" t="s">
        <v>414</v>
      </c>
      <c r="F354" s="28" t="s">
        <v>415</v>
      </c>
      <c r="G354" s="176">
        <f>350000*4</f>
        <v>1400000</v>
      </c>
      <c r="H354" s="27">
        <v>0</v>
      </c>
      <c r="I354" s="22">
        <f t="shared" si="43"/>
        <v>1400000</v>
      </c>
      <c r="J354" s="44"/>
      <c r="K354" s="200"/>
      <c r="L354" s="98"/>
      <c r="M354" s="62"/>
      <c r="N354" s="97"/>
    </row>
    <row r="355" spans="1:16" s="23" customFormat="1" ht="18" customHeight="1">
      <c r="A355" s="13"/>
      <c r="B355" s="25"/>
      <c r="C355" s="248" t="s">
        <v>603</v>
      </c>
      <c r="D355" s="249"/>
      <c r="E355" s="249"/>
      <c r="F355" s="154"/>
      <c r="G355" s="155">
        <f>G356+G362</f>
        <v>63750000</v>
      </c>
      <c r="H355" s="17">
        <f>H356+H362</f>
        <v>75500000</v>
      </c>
      <c r="I355" s="17">
        <f>I356+I362</f>
        <v>-11750000</v>
      </c>
      <c r="J355" s="87"/>
      <c r="K355" s="200"/>
      <c r="L355" s="98"/>
      <c r="M355" s="62"/>
      <c r="N355" s="97"/>
    </row>
    <row r="356" spans="1:16" s="23" customFormat="1" ht="18" customHeight="1">
      <c r="A356" s="13"/>
      <c r="B356" s="25"/>
      <c r="C356" s="18"/>
      <c r="D356" s="265" t="s">
        <v>586</v>
      </c>
      <c r="E356" s="262"/>
      <c r="F356" s="59"/>
      <c r="G356" s="156">
        <f>SUM(G357:G361)</f>
        <v>60750000</v>
      </c>
      <c r="H356" s="21">
        <f>SUM(H357:H361)</f>
        <v>72500000</v>
      </c>
      <c r="I356" s="21">
        <f>SUM(I357:I361)</f>
        <v>-11750000</v>
      </c>
      <c r="J356" s="88"/>
      <c r="K356" s="200"/>
      <c r="L356" s="98"/>
      <c r="M356" s="62"/>
      <c r="N356" s="97"/>
    </row>
    <row r="357" spans="1:16" s="23" customFormat="1" ht="18" customHeight="1">
      <c r="A357" s="13"/>
      <c r="B357" s="25"/>
      <c r="C357" s="18"/>
      <c r="D357" s="18"/>
      <c r="E357" s="26" t="s">
        <v>586</v>
      </c>
      <c r="F357" s="28" t="s">
        <v>604</v>
      </c>
      <c r="G357" s="156">
        <f>31550000+3200000</f>
        <v>34750000</v>
      </c>
      <c r="H357" s="21">
        <v>44500000</v>
      </c>
      <c r="I357" s="22">
        <f t="shared" ref="I357:I363" si="46">G357-H357</f>
        <v>-9750000</v>
      </c>
      <c r="J357" s="88"/>
      <c r="K357" s="200"/>
      <c r="L357" s="98"/>
      <c r="M357" s="62"/>
      <c r="N357" s="97"/>
    </row>
    <row r="358" spans="1:16" s="23" customFormat="1" ht="18" customHeight="1">
      <c r="A358" s="13"/>
      <c r="B358" s="25"/>
      <c r="C358" s="18"/>
      <c r="D358" s="18"/>
      <c r="E358" s="26" t="s">
        <v>586</v>
      </c>
      <c r="F358" s="28" t="s">
        <v>605</v>
      </c>
      <c r="G358" s="156">
        <v>8000000</v>
      </c>
      <c r="H358" s="21">
        <v>8000000</v>
      </c>
      <c r="I358" s="22">
        <f t="shared" si="46"/>
        <v>0</v>
      </c>
      <c r="J358" s="88"/>
      <c r="K358" s="200"/>
      <c r="L358" s="98"/>
      <c r="M358" s="62"/>
      <c r="N358" s="97"/>
    </row>
    <row r="359" spans="1:16" s="23" customFormat="1" ht="18" customHeight="1">
      <c r="A359" s="13"/>
      <c r="B359" s="25"/>
      <c r="C359" s="18"/>
      <c r="D359" s="18"/>
      <c r="E359" s="26" t="s">
        <v>586</v>
      </c>
      <c r="F359" s="28" t="s">
        <v>606</v>
      </c>
      <c r="G359" s="156">
        <v>10000000</v>
      </c>
      <c r="H359" s="21">
        <v>12000000</v>
      </c>
      <c r="I359" s="22">
        <f t="shared" si="46"/>
        <v>-2000000</v>
      </c>
      <c r="J359" s="88"/>
      <c r="K359" s="200"/>
      <c r="L359" s="98"/>
      <c r="M359" s="62"/>
      <c r="N359" s="97"/>
    </row>
    <row r="360" spans="1:16" s="23" customFormat="1" ht="18" customHeight="1">
      <c r="A360" s="13"/>
      <c r="B360" s="25"/>
      <c r="C360" s="18"/>
      <c r="D360" s="24"/>
      <c r="E360" s="26" t="s">
        <v>586</v>
      </c>
      <c r="F360" s="28" t="s">
        <v>607</v>
      </c>
      <c r="G360" s="156">
        <v>3000000</v>
      </c>
      <c r="H360" s="21">
        <v>3000000</v>
      </c>
      <c r="I360" s="22">
        <f t="shared" si="46"/>
        <v>0</v>
      </c>
      <c r="J360" s="88"/>
      <c r="K360" s="200"/>
      <c r="L360" s="98"/>
      <c r="M360" s="62"/>
      <c r="N360" s="97"/>
    </row>
    <row r="361" spans="1:16" s="23" customFormat="1" ht="18" customHeight="1">
      <c r="A361" s="13"/>
      <c r="B361" s="25"/>
      <c r="C361" s="18"/>
      <c r="D361" s="35"/>
      <c r="E361" s="26" t="s">
        <v>586</v>
      </c>
      <c r="F361" s="28" t="s">
        <v>608</v>
      </c>
      <c r="G361" s="156">
        <v>5000000</v>
      </c>
      <c r="H361" s="21">
        <v>5000000</v>
      </c>
      <c r="I361" s="22">
        <f t="shared" si="46"/>
        <v>0</v>
      </c>
      <c r="J361" s="88"/>
      <c r="K361" s="200"/>
      <c r="L361" s="98"/>
      <c r="M361" s="62"/>
      <c r="N361" s="97"/>
    </row>
    <row r="362" spans="1:16" s="23" customFormat="1" ht="18" customHeight="1">
      <c r="A362" s="13"/>
      <c r="B362" s="25"/>
      <c r="C362" s="18"/>
      <c r="D362" s="265" t="s">
        <v>594</v>
      </c>
      <c r="E362" s="262"/>
      <c r="F362" s="59"/>
      <c r="G362" s="156">
        <f>SUM(G363)</f>
        <v>3000000</v>
      </c>
      <c r="H362" s="21">
        <f>SUM(H363)</f>
        <v>3000000</v>
      </c>
      <c r="I362" s="21">
        <f>SUM(I363)</f>
        <v>0</v>
      </c>
      <c r="J362" s="88"/>
      <c r="K362" s="200"/>
      <c r="L362" s="98"/>
      <c r="M362" s="62"/>
      <c r="N362" s="97"/>
    </row>
    <row r="363" spans="1:16" s="23" customFormat="1" ht="18" customHeight="1">
      <c r="A363" s="13"/>
      <c r="B363" s="25"/>
      <c r="C363" s="18"/>
      <c r="D363" s="19"/>
      <c r="E363" s="28" t="s">
        <v>84</v>
      </c>
      <c r="F363" s="28" t="s">
        <v>66</v>
      </c>
      <c r="G363" s="156">
        <v>3000000</v>
      </c>
      <c r="H363" s="21">
        <v>3000000</v>
      </c>
      <c r="I363" s="22">
        <f t="shared" si="46"/>
        <v>0</v>
      </c>
      <c r="J363" s="88"/>
      <c r="K363" s="200"/>
      <c r="L363" s="98"/>
      <c r="M363" s="62"/>
      <c r="N363" s="97"/>
    </row>
    <row r="364" spans="1:16" s="23" customFormat="1" ht="18" customHeight="1">
      <c r="A364" s="13"/>
      <c r="B364" s="263" t="s">
        <v>674</v>
      </c>
      <c r="C364" s="264"/>
      <c r="D364" s="264"/>
      <c r="E364" s="264"/>
      <c r="F364" s="152"/>
      <c r="G364" s="195">
        <f t="shared" ref="G364:I365" si="47">G365</f>
        <v>3000000</v>
      </c>
      <c r="H364" s="14">
        <f t="shared" si="47"/>
        <v>0</v>
      </c>
      <c r="I364" s="14">
        <f t="shared" si="47"/>
        <v>3000000</v>
      </c>
      <c r="J364" s="86"/>
      <c r="K364" s="200"/>
      <c r="L364" s="98"/>
      <c r="M364" s="62"/>
      <c r="N364" s="97"/>
    </row>
    <row r="365" spans="1:16" s="23" customFormat="1" ht="18" customHeight="1">
      <c r="A365" s="13"/>
      <c r="B365" s="25"/>
      <c r="C365" s="248" t="s">
        <v>674</v>
      </c>
      <c r="D365" s="249"/>
      <c r="E365" s="249"/>
      <c r="F365" s="154"/>
      <c r="G365" s="196">
        <f t="shared" si="47"/>
        <v>3000000</v>
      </c>
      <c r="H365" s="17">
        <f t="shared" si="47"/>
        <v>0</v>
      </c>
      <c r="I365" s="17">
        <f t="shared" si="47"/>
        <v>3000000</v>
      </c>
      <c r="J365" s="87"/>
      <c r="K365" s="200"/>
      <c r="L365" s="98"/>
      <c r="M365" s="62"/>
      <c r="N365" s="97"/>
    </row>
    <row r="366" spans="1:16" s="23" customFormat="1" ht="18" customHeight="1">
      <c r="A366" s="13"/>
      <c r="B366" s="25"/>
      <c r="C366" s="18"/>
      <c r="D366" s="265" t="s">
        <v>97</v>
      </c>
      <c r="E366" s="262"/>
      <c r="F366" s="59"/>
      <c r="G366" s="197">
        <f>SUM(G367:G367)</f>
        <v>3000000</v>
      </c>
      <c r="H366" s="21">
        <f>SUM(H367:H367)</f>
        <v>0</v>
      </c>
      <c r="I366" s="21">
        <f>SUM(I367:I367)</f>
        <v>3000000</v>
      </c>
      <c r="J366" s="88"/>
      <c r="K366" s="200"/>
      <c r="L366" s="98"/>
      <c r="M366" s="62"/>
      <c r="N366" s="97"/>
    </row>
    <row r="367" spans="1:16" s="23" customFormat="1" ht="18" customHeight="1">
      <c r="A367" s="13"/>
      <c r="B367" s="25"/>
      <c r="C367" s="18"/>
      <c r="D367" s="18"/>
      <c r="E367" s="26" t="s">
        <v>97</v>
      </c>
      <c r="F367" s="26" t="s">
        <v>675</v>
      </c>
      <c r="G367" s="156">
        <f>300000*4+1000000+800000</f>
        <v>3000000</v>
      </c>
      <c r="H367" s="21">
        <v>0</v>
      </c>
      <c r="I367" s="22">
        <f t="shared" ref="I367" si="48">G367-H367</f>
        <v>3000000</v>
      </c>
      <c r="J367" s="88" t="s">
        <v>676</v>
      </c>
      <c r="K367" s="200"/>
      <c r="L367" s="98"/>
      <c r="M367" s="62"/>
      <c r="N367" s="97"/>
      <c r="P367" s="97"/>
    </row>
    <row r="368" spans="1:16" s="23" customFormat="1" ht="18" customHeight="1">
      <c r="A368" s="13"/>
      <c r="B368" s="263" t="s">
        <v>140</v>
      </c>
      <c r="C368" s="264"/>
      <c r="D368" s="264"/>
      <c r="E368" s="264"/>
      <c r="F368" s="152"/>
      <c r="G368" s="153">
        <f>G372+G384+G369</f>
        <v>38806000</v>
      </c>
      <c r="H368" s="14">
        <f>H372+H384+H369</f>
        <v>37777000</v>
      </c>
      <c r="I368" s="14">
        <f>I372+I384+I369</f>
        <v>1029000</v>
      </c>
      <c r="J368" s="86"/>
      <c r="K368" s="200"/>
      <c r="L368" s="98"/>
      <c r="M368" s="62"/>
      <c r="N368" s="97"/>
      <c r="P368" s="97"/>
    </row>
    <row r="369" spans="1:16" s="23" customFormat="1" ht="18" customHeight="1">
      <c r="A369" s="13"/>
      <c r="B369" s="25"/>
      <c r="C369" s="248" t="s">
        <v>187</v>
      </c>
      <c r="D369" s="249"/>
      <c r="E369" s="249"/>
      <c r="F369" s="154"/>
      <c r="G369" s="155">
        <f>G370</f>
        <v>7000000</v>
      </c>
      <c r="H369" s="17">
        <f>H370</f>
        <v>7000000</v>
      </c>
      <c r="I369" s="17">
        <f>I370</f>
        <v>0</v>
      </c>
      <c r="J369" s="87"/>
      <c r="K369" s="200"/>
      <c r="L369" s="98"/>
      <c r="M369" s="62"/>
      <c r="N369" s="97"/>
      <c r="P369" s="97"/>
    </row>
    <row r="370" spans="1:16" s="23" customFormat="1" ht="18" customHeight="1">
      <c r="A370" s="13"/>
      <c r="B370" s="25"/>
      <c r="C370" s="18"/>
      <c r="D370" s="265" t="s">
        <v>146</v>
      </c>
      <c r="E370" s="262"/>
      <c r="F370" s="59"/>
      <c r="G370" s="156">
        <f>SUM(G371)</f>
        <v>7000000</v>
      </c>
      <c r="H370" s="21">
        <f>SUM(H371)</f>
        <v>7000000</v>
      </c>
      <c r="I370" s="21">
        <f>SUM(I371)</f>
        <v>0</v>
      </c>
      <c r="J370" s="88"/>
      <c r="K370" s="200"/>
      <c r="L370" s="98"/>
      <c r="M370" s="62"/>
      <c r="N370" s="97"/>
      <c r="P370" s="97"/>
    </row>
    <row r="371" spans="1:16" s="23" customFormat="1" ht="18" customHeight="1">
      <c r="A371" s="13"/>
      <c r="B371" s="25"/>
      <c r="C371" s="18"/>
      <c r="D371" s="18"/>
      <c r="E371" s="26" t="s">
        <v>146</v>
      </c>
      <c r="F371" s="28" t="s">
        <v>188</v>
      </c>
      <c r="G371" s="156">
        <f>1750000*4</f>
        <v>7000000</v>
      </c>
      <c r="H371" s="21">
        <v>7000000</v>
      </c>
      <c r="I371" s="22">
        <f t="shared" ref="I371" si="49">G371-H371</f>
        <v>0</v>
      </c>
      <c r="J371" s="88" t="s">
        <v>189</v>
      </c>
      <c r="K371" s="200"/>
      <c r="L371" s="98"/>
      <c r="M371" s="62"/>
      <c r="N371" s="97"/>
      <c r="P371" s="97"/>
    </row>
    <row r="372" spans="1:16" s="23" customFormat="1" ht="18" customHeight="1">
      <c r="A372" s="13"/>
      <c r="B372" s="25"/>
      <c r="C372" s="248" t="s">
        <v>91</v>
      </c>
      <c r="D372" s="249"/>
      <c r="E372" s="249"/>
      <c r="F372" s="154"/>
      <c r="G372" s="155">
        <f>G373+G375+G382</f>
        <v>30376000</v>
      </c>
      <c r="H372" s="17">
        <f>H373+H375+H382</f>
        <v>30007000</v>
      </c>
      <c r="I372" s="17">
        <f>I373+I375+I382</f>
        <v>369000</v>
      </c>
      <c r="J372" s="87"/>
      <c r="K372" s="200"/>
      <c r="L372" s="98"/>
      <c r="M372" s="62"/>
      <c r="N372" s="97"/>
      <c r="P372" s="97"/>
    </row>
    <row r="373" spans="1:16" s="23" customFormat="1" ht="18" customHeight="1">
      <c r="A373" s="13"/>
      <c r="B373" s="25"/>
      <c r="C373" s="18"/>
      <c r="D373" s="265" t="s">
        <v>86</v>
      </c>
      <c r="E373" s="262"/>
      <c r="F373" s="59"/>
      <c r="G373" s="156">
        <f>SUM(G374)</f>
        <v>24000000</v>
      </c>
      <c r="H373" s="21">
        <f>SUM(H374)</f>
        <v>24000000</v>
      </c>
      <c r="I373" s="21">
        <f>SUM(I374)</f>
        <v>0</v>
      </c>
      <c r="J373" s="88"/>
      <c r="K373" s="200"/>
      <c r="L373" s="98"/>
      <c r="M373" s="62"/>
      <c r="N373" s="97"/>
      <c r="P373" s="97"/>
    </row>
    <row r="374" spans="1:16" s="23" customFormat="1" ht="18" customHeight="1">
      <c r="A374" s="13"/>
      <c r="B374" s="25"/>
      <c r="C374" s="18"/>
      <c r="D374" s="18"/>
      <c r="E374" s="26" t="s">
        <v>65</v>
      </c>
      <c r="F374" s="28" t="s">
        <v>19</v>
      </c>
      <c r="G374" s="156">
        <f>2000000*12</f>
        <v>24000000</v>
      </c>
      <c r="H374" s="21">
        <f>2000000*12</f>
        <v>24000000</v>
      </c>
      <c r="I374" s="22">
        <f t="shared" ref="I374:I383" si="50">G374-H374</f>
        <v>0</v>
      </c>
      <c r="J374" s="88"/>
      <c r="K374" s="200"/>
      <c r="L374" s="98"/>
      <c r="M374" s="62"/>
      <c r="N374" s="97"/>
      <c r="P374" s="97"/>
    </row>
    <row r="375" spans="1:16" s="23" customFormat="1" ht="18" customHeight="1">
      <c r="A375" s="13"/>
      <c r="B375" s="25"/>
      <c r="C375" s="18"/>
      <c r="D375" s="265" t="s">
        <v>88</v>
      </c>
      <c r="E375" s="262"/>
      <c r="F375" s="59"/>
      <c r="G375" s="156">
        <f>SUM(G376:G381)</f>
        <v>4376000</v>
      </c>
      <c r="H375" s="21">
        <f>SUM(H376:H381)</f>
        <v>4007000</v>
      </c>
      <c r="I375" s="21">
        <f>SUM(I376:I381)</f>
        <v>369000</v>
      </c>
      <c r="J375" s="88"/>
      <c r="K375" s="200"/>
      <c r="L375" s="98"/>
      <c r="M375" s="62"/>
      <c r="N375" s="97"/>
      <c r="P375" s="97"/>
    </row>
    <row r="376" spans="1:16" s="23" customFormat="1" ht="18" customHeight="1">
      <c r="A376" s="13"/>
      <c r="B376" s="25"/>
      <c r="C376" s="18"/>
      <c r="D376" s="18"/>
      <c r="E376" s="28" t="s">
        <v>145</v>
      </c>
      <c r="F376" s="28" t="s">
        <v>2</v>
      </c>
      <c r="G376" s="176">
        <v>1080000</v>
      </c>
      <c r="H376" s="21">
        <v>1080000</v>
      </c>
      <c r="I376" s="22">
        <f t="shared" si="50"/>
        <v>0</v>
      </c>
      <c r="J376" s="138"/>
      <c r="K376" s="200"/>
      <c r="L376" s="98"/>
      <c r="M376" s="62"/>
      <c r="N376" s="97"/>
    </row>
    <row r="377" spans="1:16" s="23" customFormat="1" ht="18" customHeight="1">
      <c r="A377" s="13"/>
      <c r="B377" s="25"/>
      <c r="C377" s="18"/>
      <c r="D377" s="18"/>
      <c r="E377" s="28" t="s">
        <v>145</v>
      </c>
      <c r="F377" s="28" t="s">
        <v>3</v>
      </c>
      <c r="G377" s="176">
        <v>720000</v>
      </c>
      <c r="H377" s="21">
        <v>425000</v>
      </c>
      <c r="I377" s="22">
        <f t="shared" si="50"/>
        <v>295000</v>
      </c>
      <c r="J377" s="138"/>
      <c r="K377" s="200"/>
      <c r="L377" s="98"/>
      <c r="M377" s="62"/>
      <c r="N377" s="97"/>
    </row>
    <row r="378" spans="1:16" s="23" customFormat="1" ht="18" customHeight="1">
      <c r="A378" s="13"/>
      <c r="B378" s="25"/>
      <c r="C378" s="18"/>
      <c r="D378" s="18"/>
      <c r="E378" s="28" t="s">
        <v>145</v>
      </c>
      <c r="F378" s="28" t="s">
        <v>687</v>
      </c>
      <c r="G378" s="176">
        <v>48000</v>
      </c>
      <c r="H378" s="21">
        <v>28000</v>
      </c>
      <c r="I378" s="22">
        <f>G378-H378</f>
        <v>20000</v>
      </c>
      <c r="J378" s="138"/>
      <c r="K378" s="200"/>
      <c r="L378" s="98"/>
      <c r="M378" s="62"/>
      <c r="N378" s="97"/>
      <c r="P378" s="60"/>
    </row>
    <row r="379" spans="1:16" s="23" customFormat="1" ht="18" customHeight="1">
      <c r="A379" s="13"/>
      <c r="B379" s="25"/>
      <c r="C379" s="18"/>
      <c r="D379" s="18"/>
      <c r="E379" s="28" t="s">
        <v>145</v>
      </c>
      <c r="F379" s="28" t="s">
        <v>4</v>
      </c>
      <c r="G379" s="176">
        <v>360000</v>
      </c>
      <c r="H379" s="21">
        <v>336000</v>
      </c>
      <c r="I379" s="22">
        <f>G379-H379</f>
        <v>24000</v>
      </c>
      <c r="J379" s="138"/>
      <c r="K379" s="200"/>
      <c r="L379" s="98"/>
      <c r="M379" s="62"/>
      <c r="N379" s="97"/>
      <c r="P379" s="60"/>
    </row>
    <row r="380" spans="1:16" s="23" customFormat="1" ht="18" customHeight="1">
      <c r="A380" s="13"/>
      <c r="B380" s="25"/>
      <c r="C380" s="18"/>
      <c r="D380" s="18"/>
      <c r="E380" s="28" t="s">
        <v>145</v>
      </c>
      <c r="F380" s="28" t="s">
        <v>686</v>
      </c>
      <c r="G380" s="176">
        <v>168000</v>
      </c>
      <c r="H380" s="21">
        <v>138000</v>
      </c>
      <c r="I380" s="22">
        <f t="shared" si="50"/>
        <v>30000</v>
      </c>
      <c r="J380" s="138"/>
      <c r="K380" s="200"/>
      <c r="L380" s="98"/>
      <c r="M380" s="62"/>
      <c r="N380" s="97"/>
      <c r="P380" s="60"/>
    </row>
    <row r="381" spans="1:16" s="23" customFormat="1" ht="18" customHeight="1">
      <c r="A381" s="13"/>
      <c r="B381" s="25"/>
      <c r="C381" s="18"/>
      <c r="D381" s="18"/>
      <c r="E381" s="28" t="s">
        <v>145</v>
      </c>
      <c r="F381" s="28" t="s">
        <v>165</v>
      </c>
      <c r="G381" s="176">
        <v>2000000</v>
      </c>
      <c r="H381" s="21">
        <v>2000000</v>
      </c>
      <c r="I381" s="22">
        <f t="shared" si="50"/>
        <v>0</v>
      </c>
      <c r="J381" s="88"/>
      <c r="K381" s="200"/>
      <c r="L381" s="98"/>
      <c r="M381" s="62"/>
      <c r="N381" s="97"/>
      <c r="P381" s="60"/>
    </row>
    <row r="382" spans="1:16" s="23" customFormat="1" ht="18" customHeight="1">
      <c r="A382" s="13"/>
      <c r="B382" s="25"/>
      <c r="C382" s="18"/>
      <c r="D382" s="265" t="s">
        <v>146</v>
      </c>
      <c r="E382" s="262"/>
      <c r="F382" s="59"/>
      <c r="G382" s="156">
        <f>G383</f>
        <v>2000000</v>
      </c>
      <c r="H382" s="21">
        <f>H383</f>
        <v>2000000</v>
      </c>
      <c r="I382" s="21">
        <f>I383</f>
        <v>0</v>
      </c>
      <c r="J382" s="88"/>
      <c r="K382" s="200"/>
      <c r="L382" s="98"/>
      <c r="M382" s="62"/>
      <c r="N382" s="97"/>
      <c r="P382" s="60"/>
    </row>
    <row r="383" spans="1:16" s="23" customFormat="1" ht="18" customHeight="1">
      <c r="A383" s="13"/>
      <c r="B383" s="25"/>
      <c r="C383" s="18"/>
      <c r="D383" s="18"/>
      <c r="E383" s="28" t="s">
        <v>84</v>
      </c>
      <c r="F383" s="28" t="s">
        <v>108</v>
      </c>
      <c r="G383" s="156">
        <v>2000000</v>
      </c>
      <c r="H383" s="21">
        <v>2000000</v>
      </c>
      <c r="I383" s="22">
        <f t="shared" si="50"/>
        <v>0</v>
      </c>
      <c r="J383" s="88"/>
      <c r="K383" s="200"/>
      <c r="L383" s="98"/>
      <c r="M383" s="62"/>
      <c r="N383" s="97"/>
      <c r="P383" s="60"/>
    </row>
    <row r="384" spans="1:16" s="23" customFormat="1" ht="18" customHeight="1">
      <c r="A384" s="13"/>
      <c r="B384" s="25"/>
      <c r="C384" s="248" t="s">
        <v>141</v>
      </c>
      <c r="D384" s="249"/>
      <c r="E384" s="249"/>
      <c r="F384" s="154"/>
      <c r="G384" s="155">
        <f>G385</f>
        <v>1430000</v>
      </c>
      <c r="H384" s="17">
        <f>H385</f>
        <v>770000</v>
      </c>
      <c r="I384" s="17">
        <f>I385</f>
        <v>660000</v>
      </c>
      <c r="J384" s="87"/>
      <c r="K384" s="200"/>
      <c r="L384" s="98"/>
      <c r="M384" s="62"/>
      <c r="N384" s="97"/>
      <c r="P384" s="60"/>
    </row>
    <row r="385" spans="1:16" s="23" customFormat="1" ht="18" customHeight="1">
      <c r="A385" s="13"/>
      <c r="B385" s="25"/>
      <c r="C385" s="18"/>
      <c r="D385" s="265" t="s">
        <v>146</v>
      </c>
      <c r="E385" s="262"/>
      <c r="F385" s="59"/>
      <c r="G385" s="156">
        <f>SUM(G386:G386)</f>
        <v>1430000</v>
      </c>
      <c r="H385" s="21">
        <f>SUM(H386:H386)</f>
        <v>770000</v>
      </c>
      <c r="I385" s="21">
        <f>SUM(I386:I386)</f>
        <v>660000</v>
      </c>
      <c r="J385" s="88"/>
      <c r="K385" s="200"/>
      <c r="L385" s="98"/>
      <c r="M385" s="62"/>
      <c r="N385" s="97"/>
      <c r="P385" s="60"/>
    </row>
    <row r="386" spans="1:16" s="23" customFormat="1" ht="18" customHeight="1">
      <c r="A386" s="13"/>
      <c r="B386" s="25"/>
      <c r="C386" s="35"/>
      <c r="D386" s="25"/>
      <c r="E386" s="26" t="s">
        <v>84</v>
      </c>
      <c r="F386" s="28" t="s">
        <v>185</v>
      </c>
      <c r="G386" s="156">
        <f>770000+660000</f>
        <v>1430000</v>
      </c>
      <c r="H386" s="21">
        <v>770000</v>
      </c>
      <c r="I386" s="22">
        <f t="shared" ref="I386" si="51">G386-H386</f>
        <v>660000</v>
      </c>
      <c r="J386" s="88"/>
      <c r="K386" s="200"/>
      <c r="L386" s="98"/>
      <c r="M386" s="62"/>
      <c r="N386" s="97"/>
      <c r="P386" s="60"/>
    </row>
    <row r="387" spans="1:16" s="23" customFormat="1" ht="18" customHeight="1">
      <c r="A387" s="13"/>
      <c r="B387" s="263" t="s">
        <v>5</v>
      </c>
      <c r="C387" s="264"/>
      <c r="D387" s="264"/>
      <c r="E387" s="264"/>
      <c r="F387" s="152"/>
      <c r="G387" s="153">
        <f>G388</f>
        <v>12000000</v>
      </c>
      <c r="H387" s="14">
        <f>H388</f>
        <v>12000000</v>
      </c>
      <c r="I387" s="14">
        <f>I388</f>
        <v>0</v>
      </c>
      <c r="J387" s="86"/>
      <c r="K387" s="200"/>
      <c r="L387" s="98"/>
      <c r="M387" s="62"/>
      <c r="N387" s="97"/>
      <c r="P387" s="60"/>
    </row>
    <row r="388" spans="1:16" s="23" customFormat="1" ht="18" customHeight="1">
      <c r="A388" s="13"/>
      <c r="B388" s="25"/>
      <c r="C388" s="248" t="s">
        <v>92</v>
      </c>
      <c r="D388" s="249"/>
      <c r="E388" s="249"/>
      <c r="F388" s="154"/>
      <c r="G388" s="155">
        <f>G389+G391</f>
        <v>12000000</v>
      </c>
      <c r="H388" s="17">
        <f>H389+H391</f>
        <v>12000000</v>
      </c>
      <c r="I388" s="17">
        <f>I389+I391</f>
        <v>0</v>
      </c>
      <c r="J388" s="87"/>
      <c r="K388" s="200"/>
      <c r="L388" s="98"/>
      <c r="M388" s="62"/>
      <c r="N388" s="97"/>
      <c r="P388" s="60"/>
    </row>
    <row r="389" spans="1:16" s="23" customFormat="1" ht="18" customHeight="1">
      <c r="A389" s="13"/>
      <c r="B389" s="25"/>
      <c r="C389" s="19"/>
      <c r="D389" s="267" t="s">
        <v>152</v>
      </c>
      <c r="E389" s="267"/>
      <c r="F389" s="59"/>
      <c r="G389" s="156">
        <f>SUM(G390:G390)</f>
        <v>0</v>
      </c>
      <c r="H389" s="21">
        <f>SUM(H390:H390)</f>
        <v>0</v>
      </c>
      <c r="I389" s="21">
        <f>SUM(I390:I390)</f>
        <v>0</v>
      </c>
      <c r="J389" s="88"/>
      <c r="K389" s="200"/>
      <c r="L389" s="98"/>
      <c r="M389" s="62"/>
      <c r="N389" s="97"/>
      <c r="P389" s="60"/>
    </row>
    <row r="390" spans="1:16" s="23" customFormat="1" ht="18" customHeight="1">
      <c r="A390" s="15"/>
      <c r="B390" s="24"/>
      <c r="C390" s="24"/>
      <c r="D390" s="19"/>
      <c r="E390" s="19" t="s">
        <v>152</v>
      </c>
      <c r="F390" s="28" t="s">
        <v>109</v>
      </c>
      <c r="G390" s="156">
        <v>0</v>
      </c>
      <c r="H390" s="21">
        <v>0</v>
      </c>
      <c r="I390" s="22">
        <f t="shared" ref="I390:I392" si="52">G390-H390</f>
        <v>0</v>
      </c>
      <c r="J390" s="88"/>
      <c r="K390" s="200"/>
      <c r="L390" s="98"/>
      <c r="M390" s="62"/>
      <c r="N390" s="97"/>
      <c r="P390" s="60"/>
    </row>
    <row r="391" spans="1:16" s="23" customFormat="1" ht="18" customHeight="1">
      <c r="A391" s="13"/>
      <c r="B391" s="25"/>
      <c r="C391" s="24"/>
      <c r="D391" s="265" t="s">
        <v>84</v>
      </c>
      <c r="E391" s="262"/>
      <c r="F391" s="59"/>
      <c r="G391" s="156">
        <f>SUM(G392:G392)</f>
        <v>12000000</v>
      </c>
      <c r="H391" s="21">
        <f>SUM(H392:H392)</f>
        <v>12000000</v>
      </c>
      <c r="I391" s="21">
        <f>SUM(I392:I392)</f>
        <v>0</v>
      </c>
      <c r="J391" s="88"/>
      <c r="K391" s="200"/>
      <c r="L391" s="98"/>
      <c r="M391" s="62"/>
      <c r="N391" s="97"/>
      <c r="P391" s="60"/>
    </row>
    <row r="392" spans="1:16" s="23" customFormat="1" ht="18" customHeight="1">
      <c r="A392" s="15"/>
      <c r="B392" s="35"/>
      <c r="C392" s="25"/>
      <c r="D392" s="35"/>
      <c r="E392" s="59" t="s">
        <v>190</v>
      </c>
      <c r="F392" s="28" t="s">
        <v>188</v>
      </c>
      <c r="G392" s="156">
        <v>12000000</v>
      </c>
      <c r="H392" s="139">
        <v>12000000</v>
      </c>
      <c r="I392" s="22">
        <f t="shared" si="52"/>
        <v>0</v>
      </c>
      <c r="J392" s="88" t="s">
        <v>651</v>
      </c>
      <c r="K392" s="200"/>
      <c r="L392" s="98"/>
      <c r="M392" s="62"/>
      <c r="N392" s="97"/>
      <c r="P392" s="60"/>
    </row>
    <row r="393" spans="1:16" s="23" customFormat="1" ht="18" customHeight="1">
      <c r="A393" s="274" t="s">
        <v>6</v>
      </c>
      <c r="B393" s="275"/>
      <c r="C393" s="275"/>
      <c r="D393" s="275"/>
      <c r="E393" s="275"/>
      <c r="F393" s="183"/>
      <c r="G393" s="184">
        <f>G394+G407+G433+G456+G464</f>
        <v>783388000</v>
      </c>
      <c r="H393" s="48">
        <f>H394+H407+H433+H456+H464</f>
        <v>832040000</v>
      </c>
      <c r="I393" s="48">
        <f>I394+I407+I433+I456+I464</f>
        <v>-48652000</v>
      </c>
      <c r="J393" s="90"/>
      <c r="K393" s="200"/>
      <c r="L393" s="98"/>
      <c r="M393" s="62"/>
      <c r="N393" s="97"/>
      <c r="P393" s="60"/>
    </row>
    <row r="394" spans="1:16" s="23" customFormat="1" ht="18" customHeight="1">
      <c r="A394" s="13"/>
      <c r="B394" s="263" t="s">
        <v>7</v>
      </c>
      <c r="C394" s="264"/>
      <c r="D394" s="264"/>
      <c r="E394" s="264"/>
      <c r="F394" s="152"/>
      <c r="G394" s="153">
        <f>G395</f>
        <v>116526000</v>
      </c>
      <c r="H394" s="14">
        <f t="shared" ref="G394:I395" si="53">H395</f>
        <v>116526000</v>
      </c>
      <c r="I394" s="14">
        <f t="shared" si="53"/>
        <v>0</v>
      </c>
      <c r="J394" s="86"/>
      <c r="K394" s="200"/>
      <c r="L394" s="98"/>
      <c r="M394" s="62"/>
      <c r="N394" s="97"/>
      <c r="P394" s="60"/>
    </row>
    <row r="395" spans="1:16" s="23" customFormat="1" ht="18" customHeight="1">
      <c r="A395" s="13"/>
      <c r="B395" s="25"/>
      <c r="C395" s="248" t="s">
        <v>153</v>
      </c>
      <c r="D395" s="249"/>
      <c r="E395" s="249"/>
      <c r="F395" s="154"/>
      <c r="G395" s="155">
        <f t="shared" si="53"/>
        <v>116526000</v>
      </c>
      <c r="H395" s="17">
        <f t="shared" si="53"/>
        <v>116526000</v>
      </c>
      <c r="I395" s="17">
        <f t="shared" si="53"/>
        <v>0</v>
      </c>
      <c r="J395" s="87"/>
      <c r="K395" s="200"/>
      <c r="L395" s="98"/>
      <c r="M395" s="62"/>
      <c r="N395" s="97"/>
      <c r="P395" s="60"/>
    </row>
    <row r="396" spans="1:16" s="23" customFormat="1" ht="18" customHeight="1">
      <c r="A396" s="13"/>
      <c r="B396" s="25"/>
      <c r="C396" s="18"/>
      <c r="D396" s="265" t="s">
        <v>146</v>
      </c>
      <c r="E396" s="262"/>
      <c r="F396" s="59"/>
      <c r="G396" s="156">
        <f>SUM(G397:G406)</f>
        <v>116526000</v>
      </c>
      <c r="H396" s="21">
        <f>SUM(H397:H406)</f>
        <v>116526000</v>
      </c>
      <c r="I396" s="21">
        <f>SUM(I397:I406)</f>
        <v>0</v>
      </c>
      <c r="J396" s="88"/>
      <c r="K396" s="200"/>
      <c r="L396" s="98"/>
      <c r="M396" s="62"/>
      <c r="N396" s="97"/>
      <c r="P396" s="60"/>
    </row>
    <row r="397" spans="1:16" s="23" customFormat="1" ht="18" customHeight="1">
      <c r="A397" s="13"/>
      <c r="B397" s="25"/>
      <c r="C397" s="18"/>
      <c r="D397" s="18"/>
      <c r="E397" s="26" t="s">
        <v>84</v>
      </c>
      <c r="F397" s="28" t="s">
        <v>166</v>
      </c>
      <c r="G397" s="156">
        <v>12038000</v>
      </c>
      <c r="H397" s="21">
        <v>12038000</v>
      </c>
      <c r="I397" s="22">
        <f t="shared" ref="I397:I406" si="54">G397-H397</f>
        <v>0</v>
      </c>
      <c r="J397" s="88"/>
      <c r="K397" s="200"/>
      <c r="L397" s="98"/>
      <c r="M397" s="62"/>
      <c r="N397" s="97"/>
      <c r="P397" s="60"/>
    </row>
    <row r="398" spans="1:16" s="23" customFormat="1" ht="18" customHeight="1">
      <c r="A398" s="13"/>
      <c r="B398" s="25"/>
      <c r="C398" s="18"/>
      <c r="D398" s="24"/>
      <c r="E398" s="26" t="s">
        <v>84</v>
      </c>
      <c r="F398" s="28" t="s">
        <v>63</v>
      </c>
      <c r="G398" s="156">
        <f>5500*2000</f>
        <v>11000000</v>
      </c>
      <c r="H398" s="21">
        <f>5500*2000</f>
        <v>11000000</v>
      </c>
      <c r="I398" s="22">
        <f t="shared" si="54"/>
        <v>0</v>
      </c>
      <c r="J398" s="88"/>
      <c r="K398" s="200"/>
      <c r="L398" s="98"/>
      <c r="M398" s="62"/>
      <c r="N398" s="97"/>
      <c r="P398" s="60"/>
    </row>
    <row r="399" spans="1:16" s="23" customFormat="1" ht="18" customHeight="1">
      <c r="A399" s="13"/>
      <c r="B399" s="25"/>
      <c r="C399" s="18"/>
      <c r="D399" s="24"/>
      <c r="E399" s="26" t="s">
        <v>84</v>
      </c>
      <c r="F399" s="28" t="s">
        <v>118</v>
      </c>
      <c r="G399" s="156">
        <v>10000000</v>
      </c>
      <c r="H399" s="21">
        <v>10000000</v>
      </c>
      <c r="I399" s="22">
        <f t="shared" si="54"/>
        <v>0</v>
      </c>
      <c r="J399" s="88"/>
      <c r="K399" s="200"/>
      <c r="L399" s="98"/>
      <c r="M399" s="62"/>
      <c r="N399" s="97"/>
      <c r="P399" s="60"/>
    </row>
    <row r="400" spans="1:16" s="23" customFormat="1" ht="18" customHeight="1">
      <c r="A400" s="13"/>
      <c r="B400" s="25"/>
      <c r="C400" s="18"/>
      <c r="D400" s="24"/>
      <c r="E400" s="26" t="s">
        <v>84</v>
      </c>
      <c r="F400" s="28" t="s">
        <v>160</v>
      </c>
      <c r="G400" s="156">
        <v>10000000</v>
      </c>
      <c r="H400" s="21">
        <v>10000000</v>
      </c>
      <c r="I400" s="22">
        <f t="shared" si="54"/>
        <v>0</v>
      </c>
      <c r="J400" s="88"/>
      <c r="K400" s="200"/>
      <c r="L400" s="98"/>
      <c r="M400" s="62"/>
      <c r="N400" s="97"/>
      <c r="P400" s="60"/>
    </row>
    <row r="401" spans="1:16" s="23" customFormat="1" ht="18" customHeight="1">
      <c r="A401" s="13"/>
      <c r="B401" s="25"/>
      <c r="C401" s="24"/>
      <c r="D401" s="25"/>
      <c r="E401" s="26" t="s">
        <v>84</v>
      </c>
      <c r="F401" s="28" t="s">
        <v>0</v>
      </c>
      <c r="G401" s="156">
        <f>5000000+20000000+1000000+14000000</f>
        <v>40000000</v>
      </c>
      <c r="H401" s="21">
        <f>5000000+20000000+1000000+14000000</f>
        <v>40000000</v>
      </c>
      <c r="I401" s="22">
        <f t="shared" si="54"/>
        <v>0</v>
      </c>
      <c r="J401" s="88" t="s">
        <v>650</v>
      </c>
      <c r="K401" s="200"/>
      <c r="L401" s="98"/>
      <c r="M401" s="62"/>
      <c r="N401" s="97"/>
      <c r="P401" s="60"/>
    </row>
    <row r="402" spans="1:16" s="23" customFormat="1" ht="18" customHeight="1">
      <c r="A402" s="13"/>
      <c r="B402" s="25"/>
      <c r="C402" s="18"/>
      <c r="D402" s="24"/>
      <c r="E402" s="26" t="s">
        <v>84</v>
      </c>
      <c r="F402" s="28" t="s">
        <v>62</v>
      </c>
      <c r="G402" s="156">
        <f>143000*5*12</f>
        <v>8580000</v>
      </c>
      <c r="H402" s="21">
        <f>715000*12</f>
        <v>8580000</v>
      </c>
      <c r="I402" s="22">
        <f t="shared" si="54"/>
        <v>0</v>
      </c>
      <c r="J402" s="88"/>
      <c r="K402" s="200"/>
      <c r="L402" s="98"/>
      <c r="M402" s="62"/>
      <c r="N402" s="97"/>
      <c r="P402" s="60"/>
    </row>
    <row r="403" spans="1:16" s="23" customFormat="1" ht="18" customHeight="1">
      <c r="A403" s="13"/>
      <c r="B403" s="25"/>
      <c r="C403" s="18"/>
      <c r="D403" s="24"/>
      <c r="E403" s="28" t="s">
        <v>148</v>
      </c>
      <c r="F403" s="28" t="s">
        <v>9</v>
      </c>
      <c r="G403" s="156">
        <v>260000</v>
      </c>
      <c r="H403" s="21">
        <v>260000</v>
      </c>
      <c r="I403" s="22">
        <f t="shared" si="54"/>
        <v>0</v>
      </c>
      <c r="J403" s="88"/>
      <c r="K403" s="200"/>
      <c r="L403" s="98"/>
      <c r="M403" s="62"/>
      <c r="N403" s="97"/>
      <c r="P403" s="60"/>
    </row>
    <row r="404" spans="1:16" s="23" customFormat="1" ht="18" customHeight="1">
      <c r="A404" s="13"/>
      <c r="B404" s="25"/>
      <c r="C404" s="18"/>
      <c r="D404" s="24"/>
      <c r="E404" s="16" t="s">
        <v>678</v>
      </c>
      <c r="F404" s="28" t="s">
        <v>64</v>
      </c>
      <c r="G404" s="156">
        <v>3648000</v>
      </c>
      <c r="H404" s="21">
        <v>3648000</v>
      </c>
      <c r="I404" s="22">
        <f t="shared" si="54"/>
        <v>0</v>
      </c>
      <c r="J404" s="88"/>
      <c r="K404" s="200"/>
      <c r="L404" s="98"/>
      <c r="M404" s="62"/>
      <c r="N404" s="97"/>
      <c r="P404" s="60"/>
    </row>
    <row r="405" spans="1:16" s="23" customFormat="1" ht="18" customHeight="1">
      <c r="A405" s="13"/>
      <c r="B405" s="25"/>
      <c r="C405" s="18"/>
      <c r="D405" s="24"/>
      <c r="E405" s="16" t="s">
        <v>154</v>
      </c>
      <c r="F405" s="28" t="s">
        <v>8</v>
      </c>
      <c r="G405" s="156">
        <v>20000000</v>
      </c>
      <c r="H405" s="21">
        <v>20000000</v>
      </c>
      <c r="I405" s="22">
        <f t="shared" si="54"/>
        <v>0</v>
      </c>
      <c r="J405" s="88"/>
      <c r="K405" s="200"/>
      <c r="L405" s="98"/>
      <c r="M405" s="62"/>
      <c r="N405" s="97"/>
      <c r="P405" s="60"/>
    </row>
    <row r="406" spans="1:16" s="23" customFormat="1" ht="18" customHeight="1">
      <c r="A406" s="13"/>
      <c r="B406" s="25"/>
      <c r="C406" s="18"/>
      <c r="D406" s="24"/>
      <c r="E406" s="28" t="s">
        <v>154</v>
      </c>
      <c r="F406" s="28" t="s">
        <v>161</v>
      </c>
      <c r="G406" s="156">
        <v>1000000</v>
      </c>
      <c r="H406" s="21">
        <v>1000000</v>
      </c>
      <c r="I406" s="22">
        <f t="shared" si="54"/>
        <v>0</v>
      </c>
      <c r="J406" s="88" t="s">
        <v>173</v>
      </c>
      <c r="K406" s="200"/>
      <c r="L406" s="98"/>
      <c r="M406" s="62"/>
      <c r="N406" s="97"/>
      <c r="P406" s="60"/>
    </row>
    <row r="407" spans="1:16" s="23" customFormat="1" ht="18" customHeight="1">
      <c r="A407" s="13"/>
      <c r="B407" s="263" t="s">
        <v>61</v>
      </c>
      <c r="C407" s="264"/>
      <c r="D407" s="264"/>
      <c r="E407" s="264"/>
      <c r="F407" s="152"/>
      <c r="G407" s="153">
        <f>G408</f>
        <v>589432000</v>
      </c>
      <c r="H407" s="14">
        <f t="shared" ref="G407:I408" si="55">H408</f>
        <v>673214000</v>
      </c>
      <c r="I407" s="14">
        <f t="shared" si="55"/>
        <v>-83782000</v>
      </c>
      <c r="J407" s="86"/>
      <c r="K407" s="200"/>
      <c r="L407" s="98"/>
      <c r="M407" s="62"/>
      <c r="N407" s="97"/>
      <c r="P407" s="60"/>
    </row>
    <row r="408" spans="1:16" s="23" customFormat="1" ht="18" customHeight="1">
      <c r="A408" s="13"/>
      <c r="B408" s="25"/>
      <c r="C408" s="248" t="s">
        <v>93</v>
      </c>
      <c r="D408" s="249"/>
      <c r="E408" s="249"/>
      <c r="F408" s="154"/>
      <c r="G408" s="155">
        <f t="shared" si="55"/>
        <v>589432000</v>
      </c>
      <c r="H408" s="17">
        <f t="shared" si="55"/>
        <v>673214000</v>
      </c>
      <c r="I408" s="17">
        <f t="shared" si="55"/>
        <v>-83782000</v>
      </c>
      <c r="J408" s="87"/>
      <c r="K408" s="200"/>
      <c r="L408" s="98"/>
      <c r="M408" s="62"/>
      <c r="N408" s="97"/>
      <c r="P408" s="60"/>
    </row>
    <row r="409" spans="1:16" s="23" customFormat="1" ht="18" customHeight="1">
      <c r="A409" s="13"/>
      <c r="B409" s="25"/>
      <c r="C409" s="18"/>
      <c r="D409" s="265" t="s">
        <v>146</v>
      </c>
      <c r="E409" s="262"/>
      <c r="F409" s="59"/>
      <c r="G409" s="156">
        <f>SUM(G410:G432)</f>
        <v>589432000</v>
      </c>
      <c r="H409" s="21">
        <f>SUM(H410:H432)</f>
        <v>673214000</v>
      </c>
      <c r="I409" s="21">
        <f>SUM(I410:I432)</f>
        <v>-83782000</v>
      </c>
      <c r="J409" s="88"/>
      <c r="K409" s="200"/>
      <c r="L409" s="98"/>
      <c r="M409" s="62"/>
      <c r="N409" s="97"/>
      <c r="P409" s="60"/>
    </row>
    <row r="410" spans="1:16" s="23" customFormat="1" ht="18" customHeight="1">
      <c r="A410" s="13"/>
      <c r="B410" s="25"/>
      <c r="C410" s="18"/>
      <c r="D410" s="19"/>
      <c r="E410" s="16" t="s">
        <v>84</v>
      </c>
      <c r="F410" s="28" t="s">
        <v>670</v>
      </c>
      <c r="G410" s="156">
        <f>(11000000*12)+2100000-34100000</f>
        <v>100000000</v>
      </c>
      <c r="H410" s="21">
        <v>120000000</v>
      </c>
      <c r="I410" s="22">
        <f t="shared" ref="I410:I432" si="56">G410-H410</f>
        <v>-20000000</v>
      </c>
      <c r="J410" s="138" t="s">
        <v>669</v>
      </c>
      <c r="K410" s="200"/>
      <c r="L410" s="98"/>
      <c r="M410" s="62"/>
      <c r="N410" s="97"/>
      <c r="P410" s="60"/>
    </row>
    <row r="411" spans="1:16" s="23" customFormat="1" ht="18" customHeight="1">
      <c r="A411" s="13"/>
      <c r="B411" s="25"/>
      <c r="C411" s="18"/>
      <c r="D411" s="24"/>
      <c r="E411" s="16" t="s">
        <v>84</v>
      </c>
      <c r="F411" s="28" t="s">
        <v>162</v>
      </c>
      <c r="G411" s="156">
        <v>17000000</v>
      </c>
      <c r="H411" s="21">
        <v>20000000</v>
      </c>
      <c r="I411" s="22">
        <f t="shared" si="56"/>
        <v>-3000000</v>
      </c>
      <c r="J411" s="138"/>
      <c r="K411" s="200"/>
      <c r="L411" s="98"/>
      <c r="M411" s="62"/>
      <c r="N411" s="97"/>
      <c r="P411" s="60"/>
    </row>
    <row r="412" spans="1:16" s="23" customFormat="1" ht="18" customHeight="1">
      <c r="A412" s="13"/>
      <c r="B412" s="25"/>
      <c r="C412" s="18"/>
      <c r="D412" s="24"/>
      <c r="E412" s="16" t="s">
        <v>84</v>
      </c>
      <c r="F412" s="28" t="s">
        <v>15</v>
      </c>
      <c r="G412" s="156">
        <f>3750000*4</f>
        <v>15000000</v>
      </c>
      <c r="H412" s="21">
        <v>20000000</v>
      </c>
      <c r="I412" s="22">
        <f t="shared" si="56"/>
        <v>-5000000</v>
      </c>
      <c r="J412" s="138"/>
      <c r="K412" s="200"/>
      <c r="L412" s="98"/>
      <c r="M412" s="62"/>
      <c r="N412" s="97"/>
      <c r="P412" s="60"/>
    </row>
    <row r="413" spans="1:16" s="23" customFormat="1" ht="18" customHeight="1">
      <c r="A413" s="13"/>
      <c r="B413" s="25"/>
      <c r="C413" s="18"/>
      <c r="D413" s="24"/>
      <c r="E413" s="16" t="s">
        <v>84</v>
      </c>
      <c r="F413" s="28" t="s">
        <v>117</v>
      </c>
      <c r="G413" s="156">
        <f>1100000*12</f>
        <v>13200000</v>
      </c>
      <c r="H413" s="21">
        <v>13200000</v>
      </c>
      <c r="I413" s="22">
        <f t="shared" si="56"/>
        <v>0</v>
      </c>
      <c r="J413" s="138"/>
      <c r="K413" s="200"/>
      <c r="L413" s="98"/>
      <c r="M413" s="62"/>
      <c r="N413" s="97"/>
      <c r="P413" s="60"/>
    </row>
    <row r="414" spans="1:16" s="23" customFormat="1" ht="18" customHeight="1">
      <c r="A414" s="13"/>
      <c r="B414" s="25"/>
      <c r="C414" s="18"/>
      <c r="D414" s="18"/>
      <c r="E414" s="16" t="s">
        <v>84</v>
      </c>
      <c r="F414" s="28" t="s">
        <v>159</v>
      </c>
      <c r="G414" s="156">
        <v>0</v>
      </c>
      <c r="H414" s="21">
        <v>5500000</v>
      </c>
      <c r="I414" s="22">
        <f t="shared" si="56"/>
        <v>-5500000</v>
      </c>
      <c r="J414" s="138"/>
      <c r="K414" s="200"/>
      <c r="L414" s="98"/>
      <c r="M414" s="62"/>
      <c r="N414" s="97"/>
      <c r="P414" s="60"/>
    </row>
    <row r="415" spans="1:16" s="23" customFormat="1" ht="18" customHeight="1">
      <c r="A415" s="13"/>
      <c r="B415" s="25"/>
      <c r="C415" s="18"/>
      <c r="D415" s="18"/>
      <c r="E415" s="16" t="s">
        <v>84</v>
      </c>
      <c r="F415" s="28" t="s">
        <v>186</v>
      </c>
      <c r="G415" s="156">
        <v>2266000</v>
      </c>
      <c r="H415" s="21">
        <f>1815000*2</f>
        <v>3630000</v>
      </c>
      <c r="I415" s="22">
        <f t="shared" si="56"/>
        <v>-1364000</v>
      </c>
      <c r="J415" s="138"/>
      <c r="K415" s="200"/>
      <c r="L415" s="98"/>
      <c r="M415" s="62"/>
      <c r="N415" s="97"/>
      <c r="P415" s="60"/>
    </row>
    <row r="416" spans="1:16" s="23" customFormat="1" ht="18" customHeight="1">
      <c r="A416" s="13"/>
      <c r="B416" s="25"/>
      <c r="C416" s="18"/>
      <c r="D416" s="18"/>
      <c r="E416" s="16" t="s">
        <v>84</v>
      </c>
      <c r="F416" s="28" t="s">
        <v>55</v>
      </c>
      <c r="G416" s="156">
        <f>17300000*12</f>
        <v>207600000</v>
      </c>
      <c r="H416" s="21">
        <f>17100000*12</f>
        <v>205200000</v>
      </c>
      <c r="I416" s="22">
        <f t="shared" si="56"/>
        <v>2400000</v>
      </c>
      <c r="J416" s="138"/>
      <c r="K416" s="200"/>
      <c r="L416" s="98"/>
      <c r="M416" s="62"/>
      <c r="N416" s="97"/>
      <c r="P416" s="60"/>
    </row>
    <row r="417" spans="1:16" s="23" customFormat="1" ht="18" customHeight="1">
      <c r="A417" s="13"/>
      <c r="B417" s="25"/>
      <c r="C417" s="18"/>
      <c r="D417" s="18"/>
      <c r="E417" s="16" t="s">
        <v>84</v>
      </c>
      <c r="F417" s="28" t="s">
        <v>164</v>
      </c>
      <c r="G417" s="156">
        <v>0</v>
      </c>
      <c r="H417" s="21">
        <v>0</v>
      </c>
      <c r="I417" s="22">
        <f t="shared" si="56"/>
        <v>0</v>
      </c>
      <c r="J417" s="138"/>
      <c r="K417" s="200"/>
      <c r="L417" s="98"/>
      <c r="M417" s="62"/>
      <c r="N417" s="97"/>
      <c r="P417" s="60"/>
    </row>
    <row r="418" spans="1:16" s="23" customFormat="1" ht="18" customHeight="1">
      <c r="A418" s="13"/>
      <c r="B418" s="25"/>
      <c r="C418" s="18"/>
      <c r="D418" s="24"/>
      <c r="E418" s="16" t="s">
        <v>84</v>
      </c>
      <c r="F418" s="28" t="s">
        <v>16</v>
      </c>
      <c r="G418" s="156">
        <f>(400000*12)-2880000</f>
        <v>1920000</v>
      </c>
      <c r="H418" s="21">
        <v>0</v>
      </c>
      <c r="I418" s="22">
        <f t="shared" si="56"/>
        <v>1920000</v>
      </c>
      <c r="J418" s="138"/>
      <c r="K418" s="200"/>
      <c r="L418" s="98"/>
      <c r="M418" s="62"/>
      <c r="N418" s="97"/>
      <c r="P418" s="60"/>
    </row>
    <row r="419" spans="1:16" s="23" customFormat="1" ht="18" customHeight="1">
      <c r="A419" s="13"/>
      <c r="B419" s="25"/>
      <c r="C419" s="18"/>
      <c r="D419" s="24"/>
      <c r="E419" s="16" t="s">
        <v>84</v>
      </c>
      <c r="F419" s="28" t="s">
        <v>652</v>
      </c>
      <c r="G419" s="156">
        <f>(8700000*12)-83520000</f>
        <v>20880000</v>
      </c>
      <c r="H419" s="21">
        <v>0</v>
      </c>
      <c r="I419" s="22">
        <f t="shared" ref="I419" si="57">G419-H419</f>
        <v>20880000</v>
      </c>
      <c r="J419" s="138"/>
      <c r="K419" s="200"/>
      <c r="L419" s="98"/>
      <c r="M419" s="62"/>
      <c r="N419" s="97"/>
      <c r="P419" s="60"/>
    </row>
    <row r="420" spans="1:16" s="23" customFormat="1" ht="18" customHeight="1">
      <c r="A420" s="13"/>
      <c r="B420" s="25"/>
      <c r="C420" s="18"/>
      <c r="D420" s="24"/>
      <c r="E420" s="16" t="s">
        <v>84</v>
      </c>
      <c r="F420" s="28" t="s">
        <v>10</v>
      </c>
      <c r="G420" s="156">
        <f>(2000000*12)-14400000</f>
        <v>9600000</v>
      </c>
      <c r="H420" s="21">
        <f>2000000*12</f>
        <v>24000000</v>
      </c>
      <c r="I420" s="22">
        <f t="shared" si="56"/>
        <v>-14400000</v>
      </c>
      <c r="J420" s="138"/>
      <c r="K420" s="200"/>
      <c r="L420" s="98"/>
      <c r="M420" s="62"/>
      <c r="N420" s="97"/>
      <c r="P420" s="60"/>
    </row>
    <row r="421" spans="1:16" s="23" customFormat="1" ht="18" customHeight="1">
      <c r="A421" s="13"/>
      <c r="B421" s="25"/>
      <c r="C421" s="24"/>
      <c r="D421" s="25"/>
      <c r="E421" s="20" t="s">
        <v>468</v>
      </c>
      <c r="F421" s="28" t="s">
        <v>655</v>
      </c>
      <c r="G421" s="156">
        <f>(450000*12)-3240000</f>
        <v>2160000</v>
      </c>
      <c r="H421" s="21">
        <v>0</v>
      </c>
      <c r="I421" s="22">
        <f t="shared" si="56"/>
        <v>2160000</v>
      </c>
      <c r="J421" s="88"/>
      <c r="K421" s="200"/>
      <c r="L421" s="98"/>
      <c r="M421" s="62"/>
      <c r="N421" s="97"/>
      <c r="P421" s="60"/>
    </row>
    <row r="422" spans="1:16" s="23" customFormat="1" ht="18" customHeight="1">
      <c r="A422" s="13"/>
      <c r="B422" s="25"/>
      <c r="C422" s="18"/>
      <c r="D422" s="24"/>
      <c r="E422" s="16" t="s">
        <v>84</v>
      </c>
      <c r="F422" s="28" t="s">
        <v>54</v>
      </c>
      <c r="G422" s="156">
        <v>20000000</v>
      </c>
      <c r="H422" s="21">
        <f>2500000*12</f>
        <v>30000000</v>
      </c>
      <c r="I422" s="22">
        <f t="shared" si="56"/>
        <v>-10000000</v>
      </c>
      <c r="J422" s="138"/>
      <c r="K422" s="200"/>
      <c r="L422" s="98"/>
      <c r="M422" s="62"/>
      <c r="N422" s="97"/>
      <c r="P422" s="60"/>
    </row>
    <row r="423" spans="1:16" s="23" customFormat="1" ht="18" customHeight="1">
      <c r="A423" s="13"/>
      <c r="B423" s="25"/>
      <c r="C423" s="18"/>
      <c r="D423" s="24"/>
      <c r="E423" s="16" t="s">
        <v>84</v>
      </c>
      <c r="F423" s="28" t="s">
        <v>664</v>
      </c>
      <c r="G423" s="156">
        <v>10000000</v>
      </c>
      <c r="H423" s="21">
        <v>0</v>
      </c>
      <c r="I423" s="22">
        <f t="shared" ref="I423" si="58">G423-H423</f>
        <v>10000000</v>
      </c>
      <c r="J423" s="138" t="s">
        <v>665</v>
      </c>
      <c r="K423" s="200"/>
      <c r="L423" s="98"/>
      <c r="M423" s="62"/>
      <c r="N423" s="97"/>
      <c r="P423" s="60"/>
    </row>
    <row r="424" spans="1:16" ht="18" customHeight="1">
      <c r="A424" s="13"/>
      <c r="B424" s="25"/>
      <c r="C424" s="18"/>
      <c r="D424" s="24"/>
      <c r="E424" s="16" t="s">
        <v>60</v>
      </c>
      <c r="F424" s="28" t="s">
        <v>60</v>
      </c>
      <c r="G424" s="156">
        <f>12500000*12-50000000</f>
        <v>100000000</v>
      </c>
      <c r="H424" s="21">
        <v>152464000</v>
      </c>
      <c r="I424" s="22">
        <f t="shared" si="56"/>
        <v>-52464000</v>
      </c>
      <c r="J424" s="138"/>
      <c r="K424" s="200"/>
      <c r="N424" s="97"/>
    </row>
    <row r="425" spans="1:16" ht="18" customHeight="1">
      <c r="A425" s="13"/>
      <c r="B425" s="25"/>
      <c r="C425" s="18"/>
      <c r="D425" s="24"/>
      <c r="E425" s="28" t="s">
        <v>155</v>
      </c>
      <c r="F425" s="28" t="s">
        <v>175</v>
      </c>
      <c r="G425" s="156">
        <f>3500000*12</f>
        <v>42000000</v>
      </c>
      <c r="H425" s="21">
        <v>50000000</v>
      </c>
      <c r="I425" s="22">
        <f t="shared" si="56"/>
        <v>-8000000</v>
      </c>
      <c r="J425" s="138"/>
      <c r="K425" s="200"/>
      <c r="N425" s="97"/>
    </row>
    <row r="426" spans="1:16" ht="18" customHeight="1">
      <c r="A426" s="13"/>
      <c r="B426" s="25"/>
      <c r="C426" s="18"/>
      <c r="D426" s="24"/>
      <c r="E426" s="26" t="s">
        <v>148</v>
      </c>
      <c r="F426" s="26" t="s">
        <v>58</v>
      </c>
      <c r="G426" s="156">
        <f>(465540*12)-480</f>
        <v>5586000</v>
      </c>
      <c r="H426" s="21">
        <v>6600000</v>
      </c>
      <c r="I426" s="22">
        <f t="shared" si="56"/>
        <v>-1014000</v>
      </c>
      <c r="J426" s="138"/>
      <c r="K426" s="200"/>
      <c r="N426" s="97"/>
    </row>
    <row r="427" spans="1:16" ht="18" customHeight="1">
      <c r="A427" s="13"/>
      <c r="B427" s="25"/>
      <c r="C427" s="18"/>
      <c r="D427" s="24"/>
      <c r="E427" s="26" t="s">
        <v>148</v>
      </c>
      <c r="F427" s="28" t="s">
        <v>11</v>
      </c>
      <c r="G427" s="156">
        <v>3000000</v>
      </c>
      <c r="H427" s="21">
        <v>3000000</v>
      </c>
      <c r="I427" s="22">
        <f t="shared" si="56"/>
        <v>0</v>
      </c>
      <c r="J427" s="138"/>
      <c r="K427" s="200"/>
      <c r="N427" s="97"/>
    </row>
    <row r="428" spans="1:16" s="23" customFormat="1" ht="18" customHeight="1">
      <c r="A428" s="13"/>
      <c r="B428" s="25"/>
      <c r="C428" s="18"/>
      <c r="D428" s="24"/>
      <c r="E428" s="26" t="s">
        <v>148</v>
      </c>
      <c r="F428" s="28" t="s">
        <v>59</v>
      </c>
      <c r="G428" s="156">
        <f>400000*2*12</f>
        <v>9600000</v>
      </c>
      <c r="H428" s="21">
        <v>10000000</v>
      </c>
      <c r="I428" s="22">
        <f t="shared" si="56"/>
        <v>-400000</v>
      </c>
      <c r="J428" s="138"/>
      <c r="K428" s="200"/>
      <c r="L428" s="98"/>
      <c r="M428" s="62"/>
      <c r="N428" s="97"/>
      <c r="P428" s="60"/>
    </row>
    <row r="429" spans="1:16" s="23" customFormat="1" ht="18" customHeight="1">
      <c r="A429" s="13"/>
      <c r="B429" s="25"/>
      <c r="C429" s="18"/>
      <c r="D429" s="24"/>
      <c r="E429" s="26" t="s">
        <v>148</v>
      </c>
      <c r="F429" s="28" t="s">
        <v>53</v>
      </c>
      <c r="G429" s="156">
        <f>2100000*2</f>
        <v>4200000</v>
      </c>
      <c r="H429" s="21">
        <f>2100000*2</f>
        <v>4200000</v>
      </c>
      <c r="I429" s="22">
        <f t="shared" si="56"/>
        <v>0</v>
      </c>
      <c r="J429" s="138"/>
      <c r="K429" s="200"/>
      <c r="L429" s="98"/>
      <c r="M429" s="62"/>
      <c r="N429" s="97"/>
      <c r="P429" s="60"/>
    </row>
    <row r="430" spans="1:16" s="23" customFormat="1" ht="18" customHeight="1">
      <c r="A430" s="13"/>
      <c r="B430" s="25"/>
      <c r="C430" s="18"/>
      <c r="D430" s="24"/>
      <c r="E430" s="26" t="s">
        <v>148</v>
      </c>
      <c r="F430" s="28" t="s">
        <v>57</v>
      </c>
      <c r="G430" s="156">
        <v>4300000</v>
      </c>
      <c r="H430" s="21">
        <v>4300000</v>
      </c>
      <c r="I430" s="22">
        <f t="shared" si="56"/>
        <v>0</v>
      </c>
      <c r="J430" s="138"/>
      <c r="K430" s="200"/>
      <c r="L430" s="98"/>
      <c r="M430" s="62"/>
      <c r="N430" s="97"/>
      <c r="P430" s="60"/>
    </row>
    <row r="431" spans="1:16" s="23" customFormat="1" ht="18" customHeight="1">
      <c r="A431" s="13"/>
      <c r="B431" s="25"/>
      <c r="C431" s="94"/>
      <c r="D431" s="126"/>
      <c r="E431" s="26" t="s">
        <v>148</v>
      </c>
      <c r="F431" s="28" t="s">
        <v>111</v>
      </c>
      <c r="G431" s="156">
        <v>1000000</v>
      </c>
      <c r="H431" s="21">
        <v>1000000</v>
      </c>
      <c r="I431" s="22">
        <f t="shared" si="56"/>
        <v>0</v>
      </c>
      <c r="J431" s="138"/>
      <c r="K431" s="200"/>
      <c r="L431" s="98"/>
      <c r="M431" s="62"/>
      <c r="N431" s="97"/>
      <c r="P431" s="60"/>
    </row>
    <row r="432" spans="1:16" ht="18" customHeight="1">
      <c r="A432" s="13"/>
      <c r="B432" s="25"/>
      <c r="C432" s="18"/>
      <c r="D432" s="35"/>
      <c r="E432" s="16" t="s">
        <v>147</v>
      </c>
      <c r="F432" s="28" t="s">
        <v>56</v>
      </c>
      <c r="G432" s="156">
        <v>120000</v>
      </c>
      <c r="H432" s="21">
        <v>120000</v>
      </c>
      <c r="I432" s="22">
        <f t="shared" si="56"/>
        <v>0</v>
      </c>
      <c r="J432" s="138"/>
      <c r="K432" s="200"/>
      <c r="N432" s="97"/>
    </row>
    <row r="433" spans="1:16" ht="18" customHeight="1">
      <c r="A433" s="13"/>
      <c r="B433" s="263" t="s">
        <v>52</v>
      </c>
      <c r="C433" s="264"/>
      <c r="D433" s="264"/>
      <c r="E433" s="264"/>
      <c r="F433" s="152"/>
      <c r="G433" s="234">
        <f>G434+G446</f>
        <v>71830000</v>
      </c>
      <c r="H433" s="45">
        <f>H434+H446</f>
        <v>34200000</v>
      </c>
      <c r="I433" s="235">
        <f>I434+I446</f>
        <v>37630000</v>
      </c>
      <c r="J433" s="86"/>
      <c r="K433" s="200"/>
      <c r="N433" s="97"/>
    </row>
    <row r="434" spans="1:16" ht="18" customHeight="1">
      <c r="A434" s="13"/>
      <c r="B434" s="25"/>
      <c r="C434" s="248" t="s">
        <v>679</v>
      </c>
      <c r="D434" s="249"/>
      <c r="E434" s="249"/>
      <c r="F434" s="154"/>
      <c r="G434" s="196">
        <f>G435+G437+G444</f>
        <v>27330000</v>
      </c>
      <c r="H434" s="17">
        <f>H435+H437+H444</f>
        <v>0</v>
      </c>
      <c r="I434" s="17">
        <f>I435+I437+I444</f>
        <v>27330000</v>
      </c>
      <c r="J434" s="87"/>
      <c r="K434" s="200"/>
      <c r="N434" s="97"/>
    </row>
    <row r="435" spans="1:16" ht="18" customHeight="1">
      <c r="A435" s="13"/>
      <c r="B435" s="25"/>
      <c r="C435" s="18"/>
      <c r="D435" s="265" t="s">
        <v>96</v>
      </c>
      <c r="E435" s="262"/>
      <c r="F435" s="59"/>
      <c r="G435" s="197">
        <f>SUM(G436:G436)</f>
        <v>22730000</v>
      </c>
      <c r="H435" s="21">
        <f>SUM(H436:H436)</f>
        <v>0</v>
      </c>
      <c r="I435" s="139">
        <f>SUM(I436:I436)</f>
        <v>22730000</v>
      </c>
      <c r="J435" s="88"/>
      <c r="K435" s="200"/>
      <c r="N435" s="97"/>
    </row>
    <row r="436" spans="1:16" ht="18" customHeight="1">
      <c r="A436" s="15"/>
      <c r="B436" s="18"/>
      <c r="C436" s="24"/>
      <c r="D436" s="25"/>
      <c r="E436" s="20" t="s">
        <v>673</v>
      </c>
      <c r="F436" s="59" t="s">
        <v>677</v>
      </c>
      <c r="G436" s="224">
        <v>22730000</v>
      </c>
      <c r="H436" s="41">
        <v>0</v>
      </c>
      <c r="I436" s="225">
        <f>G436-H436</f>
        <v>22730000</v>
      </c>
      <c r="J436" s="55" t="s">
        <v>697</v>
      </c>
      <c r="K436" s="200"/>
      <c r="N436" s="97"/>
    </row>
    <row r="437" spans="1:16" s="23" customFormat="1" ht="18" customHeight="1">
      <c r="A437" s="13"/>
      <c r="B437" s="25"/>
      <c r="C437" s="18"/>
      <c r="D437" s="265" t="s">
        <v>88</v>
      </c>
      <c r="E437" s="262"/>
      <c r="F437" s="59"/>
      <c r="G437" s="197">
        <f>SUM(G438:G443)</f>
        <v>4250000</v>
      </c>
      <c r="H437" s="21">
        <f>SUM(H438:H443)</f>
        <v>0</v>
      </c>
      <c r="I437" s="21">
        <f>SUM(I438:I443)</f>
        <v>4250000</v>
      </c>
      <c r="J437" s="88"/>
      <c r="K437" s="200"/>
      <c r="L437" s="98"/>
      <c r="M437" s="62"/>
      <c r="N437" s="97"/>
      <c r="P437" s="97"/>
    </row>
    <row r="438" spans="1:16" s="23" customFormat="1" ht="18" customHeight="1">
      <c r="A438" s="13"/>
      <c r="B438" s="25"/>
      <c r="C438" s="18"/>
      <c r="D438" s="18"/>
      <c r="E438" s="28" t="s">
        <v>699</v>
      </c>
      <c r="F438" s="28" t="s">
        <v>700</v>
      </c>
      <c r="G438" s="176">
        <v>1023000</v>
      </c>
      <c r="H438" s="21">
        <v>0</v>
      </c>
      <c r="I438" s="22">
        <f t="shared" ref="I438:I439" si="59">G438-H438</f>
        <v>1023000</v>
      </c>
      <c r="J438" s="138"/>
      <c r="K438" s="200"/>
      <c r="L438" s="98"/>
      <c r="M438" s="62"/>
      <c r="N438" s="97"/>
    </row>
    <row r="439" spans="1:16" s="23" customFormat="1" ht="18" customHeight="1">
      <c r="A439" s="13"/>
      <c r="B439" s="25"/>
      <c r="C439" s="18"/>
      <c r="D439" s="18"/>
      <c r="E439" s="28" t="s">
        <v>698</v>
      </c>
      <c r="F439" s="28" t="s">
        <v>701</v>
      </c>
      <c r="G439" s="176">
        <v>681000</v>
      </c>
      <c r="H439" s="21">
        <v>0</v>
      </c>
      <c r="I439" s="22">
        <f t="shared" si="59"/>
        <v>681000</v>
      </c>
      <c r="J439" s="138"/>
      <c r="K439" s="200"/>
      <c r="L439" s="98"/>
      <c r="M439" s="62"/>
      <c r="N439" s="97"/>
    </row>
    <row r="440" spans="1:16" s="23" customFormat="1" ht="18" customHeight="1">
      <c r="A440" s="13"/>
      <c r="B440" s="25"/>
      <c r="C440" s="18"/>
      <c r="D440" s="18"/>
      <c r="E440" s="28" t="s">
        <v>698</v>
      </c>
      <c r="F440" s="28" t="s">
        <v>702</v>
      </c>
      <c r="G440" s="176">
        <v>45000</v>
      </c>
      <c r="H440" s="21">
        <v>0</v>
      </c>
      <c r="I440" s="22">
        <f>G440-H440</f>
        <v>45000</v>
      </c>
      <c r="J440" s="138"/>
      <c r="K440" s="200"/>
      <c r="L440" s="98"/>
      <c r="M440" s="62"/>
      <c r="N440" s="97"/>
      <c r="P440" s="60"/>
    </row>
    <row r="441" spans="1:16" s="23" customFormat="1" ht="18" customHeight="1">
      <c r="A441" s="13"/>
      <c r="B441" s="25"/>
      <c r="C441" s="18"/>
      <c r="D441" s="18"/>
      <c r="E441" s="28" t="s">
        <v>698</v>
      </c>
      <c r="F441" s="28" t="s">
        <v>703</v>
      </c>
      <c r="G441" s="176">
        <v>341000</v>
      </c>
      <c r="H441" s="21">
        <v>0</v>
      </c>
      <c r="I441" s="22">
        <f>G441-H441</f>
        <v>341000</v>
      </c>
      <c r="J441" s="138"/>
      <c r="K441" s="200"/>
      <c r="L441" s="98"/>
      <c r="M441" s="62"/>
      <c r="N441" s="97"/>
      <c r="P441" s="60"/>
    </row>
    <row r="442" spans="1:16" s="23" customFormat="1" ht="18" customHeight="1">
      <c r="A442" s="13"/>
      <c r="B442" s="25"/>
      <c r="C442" s="18"/>
      <c r="D442" s="18"/>
      <c r="E442" s="28" t="s">
        <v>698</v>
      </c>
      <c r="F442" s="28" t="s">
        <v>704</v>
      </c>
      <c r="G442" s="176">
        <v>160000</v>
      </c>
      <c r="H442" s="21">
        <v>0</v>
      </c>
      <c r="I442" s="22">
        <f t="shared" ref="I442:I443" si="60">G442-H442</f>
        <v>160000</v>
      </c>
      <c r="J442" s="138"/>
      <c r="K442" s="200"/>
      <c r="L442" s="98"/>
      <c r="M442" s="62"/>
      <c r="N442" s="97"/>
      <c r="P442" s="60"/>
    </row>
    <row r="443" spans="1:16" s="23" customFormat="1" ht="18" customHeight="1">
      <c r="A443" s="13"/>
      <c r="B443" s="25"/>
      <c r="C443" s="18"/>
      <c r="D443" s="18"/>
      <c r="E443" s="28" t="s">
        <v>698</v>
      </c>
      <c r="F443" s="28" t="s">
        <v>705</v>
      </c>
      <c r="G443" s="176">
        <v>2000000</v>
      </c>
      <c r="H443" s="21">
        <v>0</v>
      </c>
      <c r="I443" s="22">
        <f t="shared" si="60"/>
        <v>2000000</v>
      </c>
      <c r="J443" s="88"/>
      <c r="K443" s="200"/>
      <c r="L443" s="98"/>
      <c r="M443" s="62"/>
      <c r="N443" s="97"/>
      <c r="P443" s="60"/>
    </row>
    <row r="444" spans="1:16" s="23" customFormat="1" ht="18" customHeight="1">
      <c r="A444" s="15"/>
      <c r="B444" s="18"/>
      <c r="C444" s="24"/>
      <c r="D444" s="265" t="s">
        <v>146</v>
      </c>
      <c r="E444" s="262"/>
      <c r="F444" s="203"/>
      <c r="G444" s="231">
        <f>SUM(G445)</f>
        <v>350000</v>
      </c>
      <c r="H444" s="46">
        <f>SUM(H445)</f>
        <v>0</v>
      </c>
      <c r="I444" s="46">
        <f>SUM(I445)</f>
        <v>350000</v>
      </c>
      <c r="J444" s="55"/>
      <c r="K444" s="200"/>
      <c r="L444" s="98"/>
      <c r="M444" s="62"/>
      <c r="N444" s="97"/>
    </row>
    <row r="445" spans="1:16" s="23" customFormat="1" ht="18" customHeight="1">
      <c r="A445" s="15"/>
      <c r="B445" s="18"/>
      <c r="C445" s="35"/>
      <c r="D445" s="20"/>
      <c r="E445" s="28" t="s">
        <v>414</v>
      </c>
      <c r="F445" s="28" t="s">
        <v>415</v>
      </c>
      <c r="G445" s="176">
        <v>350000</v>
      </c>
      <c r="H445" s="27">
        <v>0</v>
      </c>
      <c r="I445" s="22">
        <f t="shared" ref="I445" si="61">G445-H445</f>
        <v>350000</v>
      </c>
      <c r="J445" s="44"/>
      <c r="K445" s="200"/>
      <c r="L445" s="98"/>
      <c r="M445" s="62"/>
      <c r="N445" s="97"/>
    </row>
    <row r="446" spans="1:16" ht="18" customHeight="1">
      <c r="A446" s="13"/>
      <c r="B446" s="25"/>
      <c r="C446" s="248" t="s">
        <v>94</v>
      </c>
      <c r="D446" s="249"/>
      <c r="E446" s="249"/>
      <c r="F446" s="154"/>
      <c r="G446" s="196">
        <f>G447+G449</f>
        <v>44500000</v>
      </c>
      <c r="H446" s="17">
        <f>H447+H449</f>
        <v>34200000</v>
      </c>
      <c r="I446" s="207">
        <f>I447+I449</f>
        <v>10300000</v>
      </c>
      <c r="J446" s="87"/>
      <c r="K446" s="200"/>
      <c r="N446" s="97"/>
    </row>
    <row r="447" spans="1:16" ht="18" customHeight="1">
      <c r="A447" s="13"/>
      <c r="B447" s="25"/>
      <c r="C447" s="18"/>
      <c r="D447" s="265" t="s">
        <v>152</v>
      </c>
      <c r="E447" s="262"/>
      <c r="F447" s="59"/>
      <c r="G447" s="156">
        <f>SUM(G448)</f>
        <v>0</v>
      </c>
      <c r="H447" s="21">
        <f>SUM(H448)</f>
        <v>0</v>
      </c>
      <c r="I447" s="21">
        <f>SUM(I448)</f>
        <v>0</v>
      </c>
      <c r="J447" s="88"/>
      <c r="K447" s="200"/>
      <c r="N447" s="97"/>
    </row>
    <row r="448" spans="1:16" ht="18" customHeight="1">
      <c r="A448" s="13"/>
      <c r="B448" s="25"/>
      <c r="C448" s="18"/>
      <c r="D448" s="18"/>
      <c r="E448" s="16" t="s">
        <v>583</v>
      </c>
      <c r="F448" s="28" t="s">
        <v>609</v>
      </c>
      <c r="G448" s="156">
        <v>0</v>
      </c>
      <c r="H448" s="21">
        <v>0</v>
      </c>
      <c r="I448" s="22">
        <f t="shared" ref="I448:I455" si="62">G448-H448</f>
        <v>0</v>
      </c>
      <c r="J448" s="88"/>
      <c r="K448" s="200"/>
      <c r="N448" s="97"/>
    </row>
    <row r="449" spans="1:16" ht="18" customHeight="1">
      <c r="A449" s="13"/>
      <c r="B449" s="25"/>
      <c r="C449" s="18"/>
      <c r="D449" s="265" t="s">
        <v>594</v>
      </c>
      <c r="E449" s="262"/>
      <c r="F449" s="59"/>
      <c r="G449" s="156">
        <f>SUM(G450:G455)</f>
        <v>44500000</v>
      </c>
      <c r="H449" s="21">
        <f>SUM(H450:H455)</f>
        <v>34200000</v>
      </c>
      <c r="I449" s="21">
        <f>SUM(I450:I455)</f>
        <v>10300000</v>
      </c>
      <c r="J449" s="88"/>
      <c r="K449" s="200"/>
      <c r="N449" s="97"/>
    </row>
    <row r="450" spans="1:16" ht="18" customHeight="1">
      <c r="A450" s="13"/>
      <c r="B450" s="25"/>
      <c r="C450" s="18"/>
      <c r="D450" s="18"/>
      <c r="E450" s="26" t="s">
        <v>595</v>
      </c>
      <c r="F450" s="28" t="s">
        <v>610</v>
      </c>
      <c r="G450" s="156">
        <v>3000000</v>
      </c>
      <c r="H450" s="21">
        <v>3000000</v>
      </c>
      <c r="I450" s="22">
        <f t="shared" si="62"/>
        <v>0</v>
      </c>
      <c r="J450" s="88"/>
      <c r="K450" s="200"/>
      <c r="N450" s="97"/>
    </row>
    <row r="451" spans="1:16" s="10" customFormat="1" ht="18" customHeight="1">
      <c r="A451" s="13"/>
      <c r="B451" s="25"/>
      <c r="C451" s="18"/>
      <c r="D451" s="18"/>
      <c r="E451" s="26" t="s">
        <v>595</v>
      </c>
      <c r="F451" s="28" t="s">
        <v>611</v>
      </c>
      <c r="G451" s="156">
        <v>2000000</v>
      </c>
      <c r="H451" s="21">
        <v>2000000</v>
      </c>
      <c r="I451" s="22">
        <f t="shared" si="62"/>
        <v>0</v>
      </c>
      <c r="J451" s="88"/>
      <c r="K451" s="200"/>
      <c r="L451" s="7"/>
      <c r="M451" s="62"/>
      <c r="P451" s="124"/>
    </row>
    <row r="452" spans="1:16" s="10" customFormat="1" ht="18" customHeight="1">
      <c r="A452" s="13"/>
      <c r="B452" s="25"/>
      <c r="C452" s="18"/>
      <c r="D452" s="18"/>
      <c r="E452" s="26" t="s">
        <v>714</v>
      </c>
      <c r="F452" s="28" t="s">
        <v>715</v>
      </c>
      <c r="G452" s="156">
        <v>14500000</v>
      </c>
      <c r="H452" s="21">
        <v>0</v>
      </c>
      <c r="I452" s="22">
        <f t="shared" si="62"/>
        <v>14500000</v>
      </c>
      <c r="J452" s="88"/>
      <c r="K452" s="200"/>
      <c r="L452" s="7"/>
      <c r="M452" s="62"/>
      <c r="P452" s="124"/>
    </row>
    <row r="453" spans="1:16" ht="22.5" customHeight="1">
      <c r="A453" s="13"/>
      <c r="B453" s="25"/>
      <c r="C453" s="18"/>
      <c r="D453" s="18"/>
      <c r="E453" s="26" t="s">
        <v>595</v>
      </c>
      <c r="F453" s="28" t="s">
        <v>612</v>
      </c>
      <c r="G453" s="156">
        <v>15000000</v>
      </c>
      <c r="H453" s="21">
        <v>16800000</v>
      </c>
      <c r="I453" s="22">
        <f t="shared" si="62"/>
        <v>-1800000</v>
      </c>
      <c r="J453" s="88"/>
      <c r="K453" s="200"/>
    </row>
    <row r="454" spans="1:16" ht="22.5" customHeight="1">
      <c r="A454" s="13"/>
      <c r="B454" s="25"/>
      <c r="C454" s="18"/>
      <c r="D454" s="18"/>
      <c r="E454" s="26" t="s">
        <v>595</v>
      </c>
      <c r="F454" s="28" t="s">
        <v>613</v>
      </c>
      <c r="G454" s="156">
        <v>3000000</v>
      </c>
      <c r="H454" s="21">
        <v>4000000</v>
      </c>
      <c r="I454" s="22">
        <f t="shared" si="62"/>
        <v>-1000000</v>
      </c>
      <c r="J454" s="88"/>
      <c r="K454" s="200"/>
    </row>
    <row r="455" spans="1:16" ht="22.5" customHeight="1">
      <c r="A455" s="13"/>
      <c r="B455" s="25"/>
      <c r="C455" s="18"/>
      <c r="D455" s="18"/>
      <c r="E455" s="28" t="s">
        <v>614</v>
      </c>
      <c r="F455" s="28" t="s">
        <v>615</v>
      </c>
      <c r="G455" s="156">
        <v>7000000</v>
      </c>
      <c r="H455" s="21">
        <v>8400000</v>
      </c>
      <c r="I455" s="22">
        <f t="shared" si="62"/>
        <v>-1400000</v>
      </c>
      <c r="J455" s="88"/>
      <c r="K455" s="200"/>
    </row>
    <row r="456" spans="1:16" ht="22.5" customHeight="1">
      <c r="A456" s="13"/>
      <c r="B456" s="263" t="s">
        <v>616</v>
      </c>
      <c r="C456" s="264"/>
      <c r="D456" s="264"/>
      <c r="E456" s="264"/>
      <c r="F456" s="152"/>
      <c r="G456" s="177">
        <f>G457+G461</f>
        <v>4600000</v>
      </c>
      <c r="H456" s="45">
        <f>H457+H461</f>
        <v>4600000</v>
      </c>
      <c r="I456" s="45">
        <f>I457+I461</f>
        <v>0</v>
      </c>
      <c r="J456" s="86"/>
      <c r="K456" s="200"/>
    </row>
    <row r="457" spans="1:16" s="132" customFormat="1" ht="22.5" customHeight="1">
      <c r="A457" s="13"/>
      <c r="B457" s="25"/>
      <c r="C457" s="248" t="s">
        <v>95</v>
      </c>
      <c r="D457" s="249"/>
      <c r="E457" s="249"/>
      <c r="F457" s="154"/>
      <c r="G457" s="178">
        <f>G458</f>
        <v>3600000</v>
      </c>
      <c r="H457" s="36">
        <f>H458</f>
        <v>3600000</v>
      </c>
      <c r="I457" s="36">
        <f>I458</f>
        <v>0</v>
      </c>
      <c r="J457" s="87"/>
      <c r="K457" s="200"/>
      <c r="M457" s="62"/>
      <c r="N457" s="6"/>
      <c r="O457" s="6"/>
      <c r="P457" s="62"/>
    </row>
    <row r="458" spans="1:16" s="132" customFormat="1" ht="22.5" customHeight="1">
      <c r="A458" s="13"/>
      <c r="B458" s="25"/>
      <c r="C458" s="18"/>
      <c r="D458" s="265" t="s">
        <v>617</v>
      </c>
      <c r="E458" s="262"/>
      <c r="F458" s="59"/>
      <c r="G458" s="174">
        <f>SUM(G459:G460)</f>
        <v>3600000</v>
      </c>
      <c r="H458" s="37">
        <f>SUM(H459:H460)</f>
        <v>3600000</v>
      </c>
      <c r="I458" s="37">
        <f>SUM(I459:I460)</f>
        <v>0</v>
      </c>
      <c r="J458" s="88"/>
      <c r="K458" s="200"/>
      <c r="M458" s="62"/>
      <c r="N458" s="6"/>
      <c r="O458" s="6"/>
      <c r="P458" s="62"/>
    </row>
    <row r="459" spans="1:16" s="132" customFormat="1" ht="22.5" customHeight="1">
      <c r="A459" s="13"/>
      <c r="B459" s="25"/>
      <c r="C459" s="18"/>
      <c r="D459" s="18"/>
      <c r="E459" s="26" t="s">
        <v>618</v>
      </c>
      <c r="F459" s="28" t="s">
        <v>619</v>
      </c>
      <c r="G459" s="156">
        <v>1600000</v>
      </c>
      <c r="H459" s="21">
        <v>1600000</v>
      </c>
      <c r="I459" s="22">
        <f t="shared" ref="I459:I460" si="63">G459-H459</f>
        <v>0</v>
      </c>
      <c r="J459" s="88"/>
      <c r="K459" s="200"/>
      <c r="M459" s="62"/>
      <c r="N459" s="6"/>
      <c r="O459" s="6"/>
      <c r="P459" s="62"/>
    </row>
    <row r="460" spans="1:16" s="132" customFormat="1" ht="22.5" customHeight="1">
      <c r="A460" s="13"/>
      <c r="B460" s="25"/>
      <c r="C460" s="18"/>
      <c r="D460" s="18"/>
      <c r="E460" s="26" t="s">
        <v>618</v>
      </c>
      <c r="F460" s="28" t="s">
        <v>620</v>
      </c>
      <c r="G460" s="156">
        <v>2000000</v>
      </c>
      <c r="H460" s="21">
        <v>2000000</v>
      </c>
      <c r="I460" s="22">
        <f t="shared" si="63"/>
        <v>0</v>
      </c>
      <c r="J460" s="88"/>
      <c r="K460" s="200"/>
      <c r="M460" s="62"/>
      <c r="N460" s="6"/>
      <c r="O460" s="6"/>
      <c r="P460" s="62"/>
    </row>
    <row r="461" spans="1:16" s="132" customFormat="1" ht="22.5" customHeight="1">
      <c r="A461" s="13"/>
      <c r="B461" s="25"/>
      <c r="C461" s="248" t="s">
        <v>621</v>
      </c>
      <c r="D461" s="249"/>
      <c r="E461" s="249"/>
      <c r="F461" s="154"/>
      <c r="G461" s="155">
        <f>G462</f>
        <v>1000000</v>
      </c>
      <c r="H461" s="17">
        <f>H462</f>
        <v>1000000</v>
      </c>
      <c r="I461" s="17">
        <f>I462</f>
        <v>0</v>
      </c>
      <c r="J461" s="87"/>
      <c r="K461" s="200"/>
      <c r="M461" s="62"/>
      <c r="N461" s="6"/>
      <c r="O461" s="6"/>
      <c r="P461" s="62"/>
    </row>
    <row r="462" spans="1:16" s="132" customFormat="1" ht="22.5" customHeight="1">
      <c r="A462" s="13"/>
      <c r="B462" s="25"/>
      <c r="C462" s="18"/>
      <c r="D462" s="265" t="s">
        <v>146</v>
      </c>
      <c r="E462" s="262"/>
      <c r="F462" s="59"/>
      <c r="G462" s="156">
        <f>SUM(G463)</f>
        <v>1000000</v>
      </c>
      <c r="H462" s="21">
        <f>SUM(H463)</f>
        <v>1000000</v>
      </c>
      <c r="I462" s="21">
        <f>SUM(I463)</f>
        <v>0</v>
      </c>
      <c r="J462" s="88"/>
      <c r="K462" s="200"/>
      <c r="M462" s="62"/>
      <c r="N462" s="6"/>
      <c r="O462" s="6"/>
      <c r="P462" s="62"/>
    </row>
    <row r="463" spans="1:16" s="132" customFormat="1" ht="22.5" customHeight="1">
      <c r="A463" s="13"/>
      <c r="B463" s="25"/>
      <c r="C463" s="18"/>
      <c r="D463" s="18"/>
      <c r="E463" s="26" t="s">
        <v>154</v>
      </c>
      <c r="F463" s="28" t="s">
        <v>110</v>
      </c>
      <c r="G463" s="156">
        <v>1000000</v>
      </c>
      <c r="H463" s="21">
        <v>1000000</v>
      </c>
      <c r="I463" s="22">
        <f t="shared" ref="I463" si="64">G463-H463</f>
        <v>0</v>
      </c>
      <c r="J463" s="88"/>
      <c r="K463" s="200"/>
      <c r="M463" s="62"/>
      <c r="N463" s="6"/>
      <c r="O463" s="6"/>
      <c r="P463" s="62"/>
    </row>
    <row r="464" spans="1:16" s="132" customFormat="1" ht="22.5" customHeight="1">
      <c r="A464" s="13"/>
      <c r="B464" s="263" t="s">
        <v>142</v>
      </c>
      <c r="C464" s="264"/>
      <c r="D464" s="264"/>
      <c r="E464" s="264"/>
      <c r="F464" s="152"/>
      <c r="G464" s="177">
        <f t="shared" ref="G464:I465" si="65">G465</f>
        <v>1000000</v>
      </c>
      <c r="H464" s="45">
        <f t="shared" si="65"/>
        <v>3500000</v>
      </c>
      <c r="I464" s="45">
        <f t="shared" si="65"/>
        <v>-2500000</v>
      </c>
      <c r="J464" s="86"/>
      <c r="M464" s="62"/>
      <c r="N464" s="6"/>
      <c r="O464" s="6"/>
      <c r="P464" s="62"/>
    </row>
    <row r="465" spans="1:16" s="132" customFormat="1" ht="22.5" customHeight="1">
      <c r="A465" s="13"/>
      <c r="B465" s="25"/>
      <c r="C465" s="248" t="s">
        <v>143</v>
      </c>
      <c r="D465" s="249"/>
      <c r="E465" s="249"/>
      <c r="F465" s="154"/>
      <c r="G465" s="178">
        <f t="shared" si="65"/>
        <v>1000000</v>
      </c>
      <c r="H465" s="36">
        <f t="shared" si="65"/>
        <v>3500000</v>
      </c>
      <c r="I465" s="36">
        <f t="shared" si="65"/>
        <v>-2500000</v>
      </c>
      <c r="J465" s="87"/>
      <c r="M465" s="62"/>
      <c r="N465" s="6"/>
      <c r="O465" s="6"/>
      <c r="P465" s="62"/>
    </row>
    <row r="466" spans="1:16" ht="22.5" customHeight="1">
      <c r="A466" s="13"/>
      <c r="B466" s="25"/>
      <c r="C466" s="18"/>
      <c r="D466" s="265" t="s">
        <v>146</v>
      </c>
      <c r="E466" s="262"/>
      <c r="F466" s="59"/>
      <c r="G466" s="174">
        <f>SUM(G467)</f>
        <v>1000000</v>
      </c>
      <c r="H466" s="37">
        <f>SUM(H467)</f>
        <v>3500000</v>
      </c>
      <c r="I466" s="37">
        <f>SUM(I467)</f>
        <v>-2500000</v>
      </c>
      <c r="J466" s="88"/>
    </row>
    <row r="467" spans="1:16" ht="22.5" customHeight="1">
      <c r="A467" s="13"/>
      <c r="B467" s="25"/>
      <c r="C467" s="18"/>
      <c r="D467" s="18"/>
      <c r="E467" s="26" t="s">
        <v>622</v>
      </c>
      <c r="F467" s="28" t="s">
        <v>623</v>
      </c>
      <c r="G467" s="156">
        <v>1000000</v>
      </c>
      <c r="H467" s="21">
        <v>3500000</v>
      </c>
      <c r="I467" s="22">
        <f t="shared" ref="I467" si="66">G467-H467</f>
        <v>-2500000</v>
      </c>
      <c r="J467" s="88"/>
    </row>
    <row r="468" spans="1:16" ht="22.5" customHeight="1">
      <c r="A468" s="274" t="s">
        <v>624</v>
      </c>
      <c r="B468" s="275"/>
      <c r="C468" s="275"/>
      <c r="D468" s="275"/>
      <c r="E468" s="275"/>
      <c r="F468" s="183"/>
      <c r="G468" s="184">
        <f>G469</f>
        <v>3041420000</v>
      </c>
      <c r="H468" s="48">
        <f t="shared" ref="G468:I470" si="67">H469</f>
        <v>5827000000</v>
      </c>
      <c r="I468" s="48">
        <f>I469</f>
        <v>-2785580000</v>
      </c>
      <c r="J468" s="90"/>
    </row>
    <row r="469" spans="1:16" ht="22.5" customHeight="1">
      <c r="A469" s="13"/>
      <c r="B469" s="263" t="s">
        <v>625</v>
      </c>
      <c r="C469" s="264"/>
      <c r="D469" s="264"/>
      <c r="E469" s="264"/>
      <c r="F469" s="152"/>
      <c r="G469" s="153">
        <f t="shared" si="67"/>
        <v>3041420000</v>
      </c>
      <c r="H469" s="14">
        <f t="shared" si="67"/>
        <v>5827000000</v>
      </c>
      <c r="I469" s="14">
        <f t="shared" si="67"/>
        <v>-2785580000</v>
      </c>
      <c r="J469" s="86"/>
    </row>
    <row r="470" spans="1:16" ht="22.5" customHeight="1">
      <c r="A470" s="15"/>
      <c r="B470" s="19"/>
      <c r="C470" s="249" t="s">
        <v>144</v>
      </c>
      <c r="D470" s="249"/>
      <c r="E470" s="249"/>
      <c r="F470" s="154"/>
      <c r="G470" s="155">
        <f t="shared" si="67"/>
        <v>3041420000</v>
      </c>
      <c r="H470" s="17">
        <f t="shared" si="67"/>
        <v>5827000000</v>
      </c>
      <c r="I470" s="17">
        <f t="shared" si="67"/>
        <v>-2785580000</v>
      </c>
      <c r="J470" s="87"/>
    </row>
    <row r="471" spans="1:16" ht="22.5" customHeight="1">
      <c r="A471" s="15"/>
      <c r="B471" s="24"/>
      <c r="C471" s="25"/>
      <c r="D471" s="265" t="s">
        <v>626</v>
      </c>
      <c r="E471" s="262"/>
      <c r="F471" s="59"/>
      <c r="G471" s="156">
        <f>SUM(G472:G476)</f>
        <v>3041420000</v>
      </c>
      <c r="H471" s="21">
        <f>SUM(H472:H476)</f>
        <v>5827000000</v>
      </c>
      <c r="I471" s="21">
        <f>SUM(I472:I476)</f>
        <v>-2785580000</v>
      </c>
      <c r="J471" s="88"/>
    </row>
    <row r="472" spans="1:16" ht="22.5" customHeight="1">
      <c r="A472" s="15"/>
      <c r="B472" s="24"/>
      <c r="C472" s="25"/>
      <c r="D472" s="94"/>
      <c r="E472" s="57" t="s">
        <v>627</v>
      </c>
      <c r="F472" s="59" t="s">
        <v>628</v>
      </c>
      <c r="G472" s="176">
        <f>2961920000+(24750000*2)</f>
        <v>3011420000</v>
      </c>
      <c r="H472" s="21">
        <v>5350000000</v>
      </c>
      <c r="I472" s="22">
        <f t="shared" ref="I472:I476" si="68">G472-H472</f>
        <v>-2338580000</v>
      </c>
      <c r="J472" s="88" t="s">
        <v>690</v>
      </c>
    </row>
    <row r="473" spans="1:16" ht="22.5" customHeight="1">
      <c r="A473" s="15"/>
      <c r="B473" s="24"/>
      <c r="C473" s="18"/>
      <c r="D473" s="24"/>
      <c r="E473" s="20" t="s">
        <v>626</v>
      </c>
      <c r="F473" s="28" t="s">
        <v>629</v>
      </c>
      <c r="G473" s="156">
        <v>0</v>
      </c>
      <c r="H473" s="21">
        <v>242000000</v>
      </c>
      <c r="I473" s="22">
        <f t="shared" si="68"/>
        <v>-242000000</v>
      </c>
      <c r="J473" s="88"/>
    </row>
    <row r="474" spans="1:16" ht="22.5" customHeight="1">
      <c r="A474" s="15"/>
      <c r="B474" s="24"/>
      <c r="C474" s="25"/>
      <c r="D474" s="24"/>
      <c r="E474" s="20" t="s">
        <v>626</v>
      </c>
      <c r="F474" s="28" t="s">
        <v>630</v>
      </c>
      <c r="G474" s="156">
        <v>0</v>
      </c>
      <c r="H474" s="21">
        <v>45000000</v>
      </c>
      <c r="I474" s="22">
        <f t="shared" si="68"/>
        <v>-45000000</v>
      </c>
      <c r="J474" s="148" t="s">
        <v>631</v>
      </c>
    </row>
    <row r="475" spans="1:16" ht="22.5" customHeight="1">
      <c r="A475" s="15"/>
      <c r="B475" s="24"/>
      <c r="C475" s="25"/>
      <c r="D475" s="24"/>
      <c r="E475" s="19" t="s">
        <v>626</v>
      </c>
      <c r="F475" s="18" t="s">
        <v>632</v>
      </c>
      <c r="G475" s="208">
        <v>30000000</v>
      </c>
      <c r="H475" s="209">
        <v>150000000</v>
      </c>
      <c r="I475" s="22">
        <f t="shared" si="68"/>
        <v>-120000000</v>
      </c>
      <c r="J475" s="148" t="s">
        <v>633</v>
      </c>
    </row>
    <row r="476" spans="1:16" ht="22.5" customHeight="1">
      <c r="A476" s="210"/>
      <c r="B476" s="35"/>
      <c r="C476" s="35"/>
      <c r="D476" s="35"/>
      <c r="E476" s="59" t="s">
        <v>627</v>
      </c>
      <c r="F476" s="28" t="s">
        <v>634</v>
      </c>
      <c r="G476" s="156">
        <v>0</v>
      </c>
      <c r="H476" s="21">
        <v>40000000</v>
      </c>
      <c r="I476" s="22">
        <f t="shared" si="68"/>
        <v>-40000000</v>
      </c>
      <c r="J476" s="88" t="s">
        <v>635</v>
      </c>
    </row>
    <row r="477" spans="1:16" ht="22.5" customHeight="1">
      <c r="A477" s="258" t="s">
        <v>636</v>
      </c>
      <c r="B477" s="259"/>
      <c r="C477" s="259"/>
      <c r="D477" s="259"/>
      <c r="E477" s="259"/>
      <c r="F477" s="168"/>
      <c r="G477" s="184">
        <f>G478</f>
        <v>603000000</v>
      </c>
      <c r="H477" s="48">
        <f t="shared" ref="G477:I479" si="69">H478</f>
        <v>420000000</v>
      </c>
      <c r="I477" s="48">
        <f>I478</f>
        <v>183000000</v>
      </c>
      <c r="J477" s="85"/>
    </row>
    <row r="478" spans="1:16" ht="22.5" customHeight="1">
      <c r="A478" s="13"/>
      <c r="B478" s="276" t="s">
        <v>637</v>
      </c>
      <c r="C478" s="276"/>
      <c r="D478" s="276"/>
      <c r="E478" s="276"/>
      <c r="F478" s="152"/>
      <c r="G478" s="153">
        <f t="shared" si="69"/>
        <v>603000000</v>
      </c>
      <c r="H478" s="14">
        <f t="shared" si="69"/>
        <v>420000000</v>
      </c>
      <c r="I478" s="14">
        <f>I479</f>
        <v>183000000</v>
      </c>
      <c r="J478" s="86"/>
    </row>
    <row r="479" spans="1:16" ht="22.5" customHeight="1">
      <c r="A479" s="15"/>
      <c r="B479" s="19"/>
      <c r="C479" s="277" t="s">
        <v>638</v>
      </c>
      <c r="D479" s="277"/>
      <c r="E479" s="277"/>
      <c r="F479" s="154"/>
      <c r="G479" s="155">
        <f t="shared" si="69"/>
        <v>603000000</v>
      </c>
      <c r="H479" s="17">
        <f t="shared" si="69"/>
        <v>420000000</v>
      </c>
      <c r="I479" s="17">
        <f t="shared" si="69"/>
        <v>183000000</v>
      </c>
      <c r="J479" s="87"/>
    </row>
    <row r="480" spans="1:16" ht="22.5" customHeight="1">
      <c r="A480" s="15"/>
      <c r="B480" s="24"/>
      <c r="C480" s="24"/>
      <c r="D480" s="278" t="s">
        <v>637</v>
      </c>
      <c r="E480" s="278"/>
      <c r="F480" s="59"/>
      <c r="G480" s="156">
        <f>SUM(G481)</f>
        <v>603000000</v>
      </c>
      <c r="H480" s="21">
        <f>SUM(H481)</f>
        <v>420000000</v>
      </c>
      <c r="I480" s="21">
        <f>SUM(I481)</f>
        <v>183000000</v>
      </c>
      <c r="J480" s="88"/>
    </row>
    <row r="481" spans="1:10" ht="22.5" customHeight="1">
      <c r="A481" s="15"/>
      <c r="B481" s="24"/>
      <c r="C481" s="24"/>
      <c r="D481" s="126"/>
      <c r="E481" s="61" t="s">
        <v>639</v>
      </c>
      <c r="F481" s="158" t="s">
        <v>639</v>
      </c>
      <c r="G481" s="157">
        <f>(112500000*4+152508280)+491720</f>
        <v>603000000</v>
      </c>
      <c r="H481" s="39">
        <v>420000000</v>
      </c>
      <c r="I481" s="22">
        <f t="shared" ref="I481" si="70">G481-H481</f>
        <v>183000000</v>
      </c>
      <c r="J481" s="148" t="s">
        <v>640</v>
      </c>
    </row>
    <row r="482" spans="1:10" ht="22.5" customHeight="1">
      <c r="A482" s="272" t="s">
        <v>51</v>
      </c>
      <c r="B482" s="273"/>
      <c r="C482" s="273"/>
      <c r="D482" s="273"/>
      <c r="E482" s="273"/>
      <c r="F482" s="191"/>
      <c r="G482" s="192">
        <f>G468+G393+G327+G278+G216+G110+G5+G477</f>
        <v>19570000000</v>
      </c>
      <c r="H482" s="193">
        <f>H468+H393+H327+H278+H216+H110+H5+H477</f>
        <v>22133889000</v>
      </c>
      <c r="I482" s="193">
        <f>I468+I393+I327+I278+I216+I110+I5+I477</f>
        <v>-2563889000</v>
      </c>
      <c r="J482" s="194"/>
    </row>
    <row r="483" spans="1:10" ht="22.5" customHeight="1">
      <c r="H483" s="62"/>
    </row>
    <row r="484" spans="1:10" ht="22.5" customHeight="1">
      <c r="H484" s="97"/>
    </row>
    <row r="485" spans="1:10" ht="22.5" customHeight="1">
      <c r="H485" s="97"/>
    </row>
  </sheetData>
  <mergeCells count="169">
    <mergeCell ref="D437:E437"/>
    <mergeCell ref="D339:E339"/>
    <mergeCell ref="D444:E444"/>
    <mergeCell ref="C434:E434"/>
    <mergeCell ref="D435:E435"/>
    <mergeCell ref="A3:E3"/>
    <mergeCell ref="F3:F4"/>
    <mergeCell ref="G3:G4"/>
    <mergeCell ref="H3:H4"/>
    <mergeCell ref="B86:E86"/>
    <mergeCell ref="C87:E87"/>
    <mergeCell ref="D88:E88"/>
    <mergeCell ref="C93:E93"/>
    <mergeCell ref="D94:E94"/>
    <mergeCell ref="C107:E107"/>
    <mergeCell ref="D61:E61"/>
    <mergeCell ref="D68:E68"/>
    <mergeCell ref="D72:E72"/>
    <mergeCell ref="D79:E79"/>
    <mergeCell ref="C81:E81"/>
    <mergeCell ref="D82:E82"/>
    <mergeCell ref="C116:E116"/>
    <mergeCell ref="D117:E117"/>
    <mergeCell ref="D119:E119"/>
    <mergeCell ref="I3:I4"/>
    <mergeCell ref="J3:J4"/>
    <mergeCell ref="C35:E35"/>
    <mergeCell ref="D36:E36"/>
    <mergeCell ref="D51:E51"/>
    <mergeCell ref="B56:E56"/>
    <mergeCell ref="C57:E57"/>
    <mergeCell ref="D58:E58"/>
    <mergeCell ref="A5:E5"/>
    <mergeCell ref="B6:E6"/>
    <mergeCell ref="C7:E7"/>
    <mergeCell ref="D8:E8"/>
    <mergeCell ref="D29:E29"/>
    <mergeCell ref="B34:E34"/>
    <mergeCell ref="D126:E126"/>
    <mergeCell ref="D129:E129"/>
    <mergeCell ref="D161:E161"/>
    <mergeCell ref="D108:E108"/>
    <mergeCell ref="A110:E110"/>
    <mergeCell ref="B111:E111"/>
    <mergeCell ref="C112:E112"/>
    <mergeCell ref="D113:E113"/>
    <mergeCell ref="B115:E115"/>
    <mergeCell ref="D178:E178"/>
    <mergeCell ref="C180:E180"/>
    <mergeCell ref="D181:E181"/>
    <mergeCell ref="B183:E183"/>
    <mergeCell ref="C184:E184"/>
    <mergeCell ref="D185:E185"/>
    <mergeCell ref="B166:E166"/>
    <mergeCell ref="C167:E167"/>
    <mergeCell ref="D168:E168"/>
    <mergeCell ref="C170:E170"/>
    <mergeCell ref="D171:E171"/>
    <mergeCell ref="C177:E177"/>
    <mergeCell ref="C202:E202"/>
    <mergeCell ref="D203:E203"/>
    <mergeCell ref="B206:E206"/>
    <mergeCell ref="C207:E207"/>
    <mergeCell ref="D208:E208"/>
    <mergeCell ref="C210:E210"/>
    <mergeCell ref="C187:E187"/>
    <mergeCell ref="D188:E188"/>
    <mergeCell ref="C198:E198"/>
    <mergeCell ref="D199:E199"/>
    <mergeCell ref="B201:E201"/>
    <mergeCell ref="D219:E219"/>
    <mergeCell ref="C223:E223"/>
    <mergeCell ref="D224:E224"/>
    <mergeCell ref="C228:E228"/>
    <mergeCell ref="D229:E229"/>
    <mergeCell ref="C231:E231"/>
    <mergeCell ref="D211:E211"/>
    <mergeCell ref="C213:E213"/>
    <mergeCell ref="D214:E214"/>
    <mergeCell ref="A216:E216"/>
    <mergeCell ref="B217:E217"/>
    <mergeCell ref="C218:E218"/>
    <mergeCell ref="B249:E249"/>
    <mergeCell ref="C250:E250"/>
    <mergeCell ref="D251:E251"/>
    <mergeCell ref="D259:E259"/>
    <mergeCell ref="C262:E262"/>
    <mergeCell ref="D263:E263"/>
    <mergeCell ref="D232:E232"/>
    <mergeCell ref="C234:E234"/>
    <mergeCell ref="D235:E235"/>
    <mergeCell ref="D237:E237"/>
    <mergeCell ref="C239:E239"/>
    <mergeCell ref="D240:E240"/>
    <mergeCell ref="D287:E287"/>
    <mergeCell ref="B292:E292"/>
    <mergeCell ref="C293:E293"/>
    <mergeCell ref="D294:E294"/>
    <mergeCell ref="B300:E300"/>
    <mergeCell ref="C301:E301"/>
    <mergeCell ref="C268:E268"/>
    <mergeCell ref="D269:E269"/>
    <mergeCell ref="A278:E278"/>
    <mergeCell ref="B279:E279"/>
    <mergeCell ref="C280:E280"/>
    <mergeCell ref="D281:E281"/>
    <mergeCell ref="C318:E318"/>
    <mergeCell ref="D319:E319"/>
    <mergeCell ref="D325:E325"/>
    <mergeCell ref="A327:E327"/>
    <mergeCell ref="B328:E328"/>
    <mergeCell ref="C329:E329"/>
    <mergeCell ref="D302:E302"/>
    <mergeCell ref="D304:E304"/>
    <mergeCell ref="D306:E306"/>
    <mergeCell ref="D308:E308"/>
    <mergeCell ref="D315:E315"/>
    <mergeCell ref="B317:E317"/>
    <mergeCell ref="B368:E368"/>
    <mergeCell ref="C369:E369"/>
    <mergeCell ref="D370:E370"/>
    <mergeCell ref="C372:E372"/>
    <mergeCell ref="D373:E373"/>
    <mergeCell ref="D375:E375"/>
    <mergeCell ref="D330:E330"/>
    <mergeCell ref="D336:E336"/>
    <mergeCell ref="D346:E346"/>
    <mergeCell ref="C355:E355"/>
    <mergeCell ref="D356:E356"/>
    <mergeCell ref="D362:E362"/>
    <mergeCell ref="B364:E364"/>
    <mergeCell ref="C365:E365"/>
    <mergeCell ref="D366:E366"/>
    <mergeCell ref="D391:E391"/>
    <mergeCell ref="A393:E393"/>
    <mergeCell ref="B394:E394"/>
    <mergeCell ref="C395:E395"/>
    <mergeCell ref="D396:E396"/>
    <mergeCell ref="B407:E407"/>
    <mergeCell ref="D382:E382"/>
    <mergeCell ref="C384:E384"/>
    <mergeCell ref="D385:E385"/>
    <mergeCell ref="B387:E387"/>
    <mergeCell ref="C388:E388"/>
    <mergeCell ref="D389:E389"/>
    <mergeCell ref="A477:E477"/>
    <mergeCell ref="B478:E478"/>
    <mergeCell ref="C479:E479"/>
    <mergeCell ref="D480:E480"/>
    <mergeCell ref="A482:E482"/>
    <mergeCell ref="J188:J197"/>
    <mergeCell ref="C465:E465"/>
    <mergeCell ref="D466:E466"/>
    <mergeCell ref="A468:E468"/>
    <mergeCell ref="B469:E469"/>
    <mergeCell ref="C470:E470"/>
    <mergeCell ref="D471:E471"/>
    <mergeCell ref="B456:E456"/>
    <mergeCell ref="C457:E457"/>
    <mergeCell ref="D458:E458"/>
    <mergeCell ref="C461:E461"/>
    <mergeCell ref="D462:E462"/>
    <mergeCell ref="B464:E464"/>
    <mergeCell ref="C408:E408"/>
    <mergeCell ref="D409:E409"/>
    <mergeCell ref="B433:E433"/>
    <mergeCell ref="C446:E446"/>
    <mergeCell ref="D447:E447"/>
    <mergeCell ref="D449:E449"/>
  </mergeCells>
  <phoneticPr fontId="3" type="noConversion"/>
  <printOptions horizontalCentered="1"/>
  <pageMargins left="0.15748031496062992" right="0.19685039370078741" top="0.74803149606299213" bottom="0.70866141732283472" header="0.31496062992125984" footer="0.31496062992125984"/>
  <pageSetup paperSize="9" orientation="portrait" r:id="rId1"/>
  <headerFooter>
    <oddHeader>&amp;C2014학년도 학교회계 본예산 세출예산서</oddHeader>
    <oddFooter>&amp;C&amp;"맑은 고딕,보통"&amp;8&amp;N페이지 중 &amp;P페이지</oddFooter>
  </headerFooter>
  <ignoredErrors>
    <ignoredError sqref="I29 I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2014학년도총괄표</vt:lpstr>
      <vt:lpstr>2014학년도세입예산서</vt:lpstr>
      <vt:lpstr>2014학년도세출예산서</vt:lpstr>
      <vt:lpstr>'2014학년도세입예산서'!Print_Area</vt:lpstr>
      <vt:lpstr>'2014학년도세출예산서'!Print_Area</vt:lpstr>
      <vt:lpstr>'2014학년도세입예산서'!Print_Titles</vt:lpstr>
      <vt:lpstr>'2014학년도세출예산서'!Print_Titles</vt:lpstr>
    </vt:vector>
  </TitlesOfParts>
  <Company>경기도교육청 기획예산담당관실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반기결산</dc:title>
  <dc:subject>결산,재무</dc:subject>
  <dc:creator>정희정</dc:creator>
  <dc:description>신임교장선생님 보고자료</dc:description>
  <cp:lastModifiedBy>user</cp:lastModifiedBy>
  <cp:lastPrinted>2014-02-06T00:54:09Z</cp:lastPrinted>
  <dcterms:created xsi:type="dcterms:W3CDTF">2007-10-01T05:52:54Z</dcterms:created>
  <dcterms:modified xsi:type="dcterms:W3CDTF">2014-02-06T01:10:37Z</dcterms:modified>
</cp:coreProperties>
</file>